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y-my.sharepoint.com/personal/jjjack3_uky_edu/Documents/Extension Documents/UAV_app publication/"/>
    </mc:Choice>
  </mc:AlternateContent>
  <xr:revisionPtr revIDLastSave="120" documentId="8_{C3E5E7B7-8580-4C91-B8FB-D457B53835B1}" xr6:coauthVersionLast="45" xr6:coauthVersionMax="45" xr10:uidLastSave="{95D48803-3B73-4645-8A1A-3A91E312D508}"/>
  <workbookProtection workbookAlgorithmName="SHA-512" workbookHashValue="3VJsGalev79rPTlW76m7iS6TnOfRdLb2qLKtjX/OTX9GekYmz4rPGrpZegIZVv9CYQituwEEt7SqZUUoQtuT0A==" workbookSaltValue="dI+o6EW73C/32QG9os7NIg==" workbookSpinCount="100000" lockStructure="1"/>
  <bookViews>
    <workbookView xWindow="28680" yWindow="1695" windowWidth="29040" windowHeight="17640" firstSheet="1" activeTab="1" xr2:uid="{A168313E-F03C-427F-BDE1-FCA29B5B6805}"/>
  </bookViews>
  <sheets>
    <sheet name="Directory" sheetId="10" r:id="rId1"/>
    <sheet name="Total Costs" sheetId="1" r:id="rId2"/>
    <sheet name="Equipment Ownership" sheetId="6" r:id="rId3"/>
    <sheet name="Certificates &amp; Licenses" sheetId="2" r:id="rId4"/>
    <sheet name="Personnel" sheetId="3" r:id="rId5"/>
    <sheet name="Utilities" sheetId="8" r:id="rId6"/>
    <sheet name="Software" sheetId="4" r:id="rId7"/>
    <sheet name="Insurance" sheetId="5" r:id="rId8"/>
    <sheet name="Maintenance &amp; Repairs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5" l="1"/>
  <c r="J14" i="5"/>
  <c r="E13" i="5"/>
  <c r="E13" i="7"/>
  <c r="F13" i="7"/>
  <c r="C5" i="1"/>
  <c r="G16" i="6" l="1"/>
  <c r="H16" i="6"/>
  <c r="I16" i="6" s="1"/>
  <c r="J16" i="6"/>
  <c r="K16" i="6" s="1"/>
  <c r="G17" i="6"/>
  <c r="H17" i="6"/>
  <c r="I17" i="6"/>
  <c r="J17" i="6"/>
  <c r="K17" i="6" s="1"/>
  <c r="G18" i="6"/>
  <c r="H18" i="6"/>
  <c r="I18" i="6"/>
  <c r="J18" i="6"/>
  <c r="K18" i="6" s="1"/>
  <c r="G19" i="6"/>
  <c r="H19" i="6"/>
  <c r="I19" i="6" s="1"/>
  <c r="J19" i="6"/>
  <c r="K19" i="6" s="1"/>
  <c r="G20" i="6"/>
  <c r="H20" i="6"/>
  <c r="I20" i="6"/>
  <c r="J20" i="6"/>
  <c r="K20" i="6" s="1"/>
  <c r="G21" i="6"/>
  <c r="H21" i="6"/>
  <c r="I21" i="6"/>
  <c r="J21" i="6"/>
  <c r="K21" i="6" s="1"/>
  <c r="G22" i="6"/>
  <c r="H22" i="6"/>
  <c r="I22" i="6" s="1"/>
  <c r="J22" i="6"/>
  <c r="K22" i="6" s="1"/>
  <c r="G23" i="6"/>
  <c r="H23" i="6"/>
  <c r="I23" i="6" s="1"/>
  <c r="J23" i="6"/>
  <c r="K23" i="6" s="1"/>
  <c r="G24" i="6"/>
  <c r="H24" i="6"/>
  <c r="I24" i="6"/>
  <c r="J24" i="6"/>
  <c r="K24" i="6" s="1"/>
  <c r="G27" i="6"/>
  <c r="H27" i="6"/>
  <c r="I27" i="6"/>
  <c r="J27" i="6" s="1"/>
  <c r="K27" i="6" s="1"/>
  <c r="G28" i="6"/>
  <c r="H28" i="6"/>
  <c r="I28" i="6"/>
  <c r="J28" i="6" s="1"/>
  <c r="K28" i="6" s="1"/>
  <c r="G29" i="6"/>
  <c r="H29" i="6"/>
  <c r="I29" i="6" s="1"/>
  <c r="J29" i="6" s="1"/>
  <c r="K29" i="6" s="1"/>
  <c r="J30" i="6"/>
  <c r="G31" i="6"/>
  <c r="H31" i="6"/>
  <c r="I31" i="6"/>
  <c r="J31" i="6" s="1"/>
  <c r="K31" i="6" s="1"/>
  <c r="G32" i="6"/>
  <c r="H32" i="6"/>
  <c r="I32" i="6"/>
  <c r="J32" i="6" s="1"/>
  <c r="K32" i="6" s="1"/>
  <c r="G33" i="6"/>
  <c r="H33" i="6"/>
  <c r="I33" i="6" s="1"/>
  <c r="J33" i="6" s="1"/>
  <c r="K33" i="6" s="1"/>
  <c r="G34" i="6"/>
  <c r="H34" i="6"/>
  <c r="J34" i="6"/>
  <c r="G35" i="6"/>
  <c r="H35" i="6"/>
  <c r="I35" i="6" s="1"/>
  <c r="J35" i="6" s="1"/>
  <c r="K35" i="6" s="1"/>
  <c r="E5" i="3"/>
  <c r="J13" i="6"/>
  <c r="J12" i="6"/>
  <c r="J11" i="6"/>
  <c r="J10" i="6"/>
  <c r="J9" i="6"/>
  <c r="J8" i="6"/>
  <c r="J7" i="6"/>
  <c r="J6" i="6"/>
  <c r="D12" i="2" l="1"/>
  <c r="H6" i="6" l="1"/>
  <c r="E14" i="7" l="1"/>
  <c r="G6" i="8" l="1"/>
  <c r="G7" i="8"/>
  <c r="E7" i="2" l="1"/>
  <c r="F7" i="2" s="1"/>
  <c r="E10" i="3"/>
  <c r="F10" i="3" s="1"/>
  <c r="C13" i="7" l="1"/>
  <c r="C6" i="7"/>
  <c r="D13" i="7"/>
  <c r="D6" i="7"/>
  <c r="E9" i="3"/>
  <c r="F9" i="3" s="1"/>
  <c r="F6" i="7" l="1"/>
  <c r="F5" i="3"/>
  <c r="J15" i="5"/>
  <c r="E6" i="4" l="1"/>
  <c r="F6" i="4" s="1"/>
  <c r="E5" i="4"/>
  <c r="F5" i="4" s="1"/>
  <c r="E10" i="2" l="1"/>
  <c r="H13" i="6"/>
  <c r="K6" i="6" l="1"/>
  <c r="E15" i="7"/>
  <c r="E16" i="7"/>
  <c r="F16" i="7" s="1"/>
  <c r="G16" i="7" s="1"/>
  <c r="E17" i="7"/>
  <c r="E18" i="7"/>
  <c r="F7" i="7"/>
  <c r="G7" i="7" s="1"/>
  <c r="C15" i="7"/>
  <c r="F15" i="7"/>
  <c r="G15" i="7" s="1"/>
  <c r="C16" i="7"/>
  <c r="C17" i="7"/>
  <c r="C18" i="7"/>
  <c r="F8" i="7"/>
  <c r="G8" i="7" s="1"/>
  <c r="F9" i="7"/>
  <c r="G9" i="7" s="1"/>
  <c r="F10" i="7"/>
  <c r="G10" i="7" s="1"/>
  <c r="F11" i="7"/>
  <c r="G11" i="7" s="1"/>
  <c r="F17" i="7" l="1"/>
  <c r="G17" i="7" s="1"/>
  <c r="F14" i="7"/>
  <c r="G14" i="7" s="1"/>
  <c r="F18" i="7"/>
  <c r="G18" i="7" s="1"/>
  <c r="G5" i="8"/>
  <c r="H5" i="8" s="1"/>
  <c r="G7" i="6" l="1"/>
  <c r="H7" i="6"/>
  <c r="I7" i="6" s="1"/>
  <c r="K7" i="6" s="1"/>
  <c r="E7" i="3"/>
  <c r="G13" i="7" l="1"/>
  <c r="F13" i="5" l="1"/>
  <c r="E9" i="5"/>
  <c r="D19" i="5"/>
  <c r="H7" i="8" l="1"/>
  <c r="E5" i="5"/>
  <c r="F5" i="5" s="1"/>
  <c r="D8" i="4"/>
  <c r="C21" i="1" s="1"/>
  <c r="G11" i="6"/>
  <c r="F19" i="7" l="1"/>
  <c r="D23" i="1" s="1"/>
  <c r="G6" i="7"/>
  <c r="E19" i="5"/>
  <c r="J16" i="5" s="1"/>
  <c r="F7" i="3"/>
  <c r="G19" i="7" l="1"/>
  <c r="E23" i="1" s="1"/>
  <c r="C18" i="1"/>
  <c r="E6" i="3" l="1"/>
  <c r="E8" i="3"/>
  <c r="E12" i="3" l="1"/>
  <c r="F6" i="3"/>
  <c r="C22" i="1"/>
  <c r="E8" i="4"/>
  <c r="G8" i="6"/>
  <c r="G9" i="6"/>
  <c r="G10" i="6"/>
  <c r="G12" i="6"/>
  <c r="G13" i="6"/>
  <c r="G6" i="6"/>
  <c r="H8" i="6"/>
  <c r="H9" i="6"/>
  <c r="I9" i="6" s="1"/>
  <c r="H10" i="6"/>
  <c r="I10" i="6" s="1"/>
  <c r="K10" i="6" s="1"/>
  <c r="H11" i="6"/>
  <c r="I11" i="6" s="1"/>
  <c r="K11" i="6" s="1"/>
  <c r="H12" i="6"/>
  <c r="I13" i="6"/>
  <c r="K13" i="6" s="1"/>
  <c r="I6" i="6"/>
  <c r="K9" i="6" l="1"/>
  <c r="G37" i="6"/>
  <c r="F9" i="5"/>
  <c r="F19" i="5" s="1"/>
  <c r="H37" i="6"/>
  <c r="D19" i="1"/>
  <c r="I12" i="6"/>
  <c r="K12" i="6" s="1"/>
  <c r="F8" i="3"/>
  <c r="F12" i="3" s="1"/>
  <c r="E19" i="1" s="1"/>
  <c r="I8" i="6"/>
  <c r="K8" i="6" s="1"/>
  <c r="H6" i="8"/>
  <c r="F8" i="4"/>
  <c r="F10" i="2"/>
  <c r="I37" i="6" l="1"/>
  <c r="E22" i="1"/>
  <c r="D22" i="1"/>
  <c r="C14" i="1"/>
  <c r="C25" i="1" s="1"/>
  <c r="H9" i="8"/>
  <c r="E20" i="1" s="1"/>
  <c r="G9" i="8"/>
  <c r="D20" i="1" s="1"/>
  <c r="E6" i="2"/>
  <c r="E12" i="2" s="1"/>
  <c r="J37" i="6" l="1"/>
  <c r="D15" i="1" s="1"/>
  <c r="K37" i="6"/>
  <c r="E15" i="1" s="1"/>
  <c r="D14" i="1"/>
  <c r="E14" i="1"/>
  <c r="F6" i="2"/>
  <c r="F12" i="2" s="1"/>
  <c r="D18" i="1" l="1"/>
  <c r="E18" i="1" l="1"/>
  <c r="E21" i="1" l="1"/>
  <c r="E25" i="1" s="1"/>
  <c r="E26" i="1" s="1"/>
  <c r="D21" i="1" l="1"/>
  <c r="D25" i="1" l="1"/>
</calcChain>
</file>

<file path=xl/sharedStrings.xml><?xml version="1.0" encoding="utf-8"?>
<sst xmlns="http://schemas.openxmlformats.org/spreadsheetml/2006/main" count="168" uniqueCount="135">
  <si>
    <t>Software</t>
  </si>
  <si>
    <t>Post-Processing Software</t>
  </si>
  <si>
    <t>Required</t>
  </si>
  <si>
    <t>Optional</t>
  </si>
  <si>
    <t xml:space="preserve">Optional </t>
  </si>
  <si>
    <t>HDMI Cables</t>
  </si>
  <si>
    <t>Landing Pad</t>
  </si>
  <si>
    <t>Spare Propellers</t>
  </si>
  <si>
    <t>Laptop</t>
  </si>
  <si>
    <t xml:space="preserve">Table </t>
  </si>
  <si>
    <t>Chair</t>
  </si>
  <si>
    <t>UAS Battery</t>
  </si>
  <si>
    <t>Tablet or Mobile Device</t>
  </si>
  <si>
    <t>Lidar</t>
  </si>
  <si>
    <t>Mounts</t>
  </si>
  <si>
    <t>Thermal Camera</t>
  </si>
  <si>
    <t>Other camera</t>
  </si>
  <si>
    <t xml:space="preserve">Large Screen TV </t>
  </si>
  <si>
    <t>Wifi Hotspot</t>
  </si>
  <si>
    <t>Equipment Information</t>
  </si>
  <si>
    <t>Generator</t>
  </si>
  <si>
    <t>Power Converter</t>
  </si>
  <si>
    <t>Miscellaneous</t>
  </si>
  <si>
    <t>Tank</t>
  </si>
  <si>
    <t>Total Cost</t>
  </si>
  <si>
    <t>Certificates &amp; Licenses</t>
  </si>
  <si>
    <t>Directory</t>
  </si>
  <si>
    <t>Micro SD Card Reader</t>
  </si>
  <si>
    <t>64 GB Micro SD Card (x4)</t>
  </si>
  <si>
    <t>Multispec Camera</t>
  </si>
  <si>
    <t>Command Center Options</t>
  </si>
  <si>
    <t xml:space="preserve">FAA Remote Pilot Certificate Knowledge Exam </t>
  </si>
  <si>
    <t>FAA Study Material for Remote Pilot Test</t>
  </si>
  <si>
    <t>FAA UAS Registration</t>
  </si>
  <si>
    <t>User Notes</t>
  </si>
  <si>
    <t>Requires user input for best cost estimation.</t>
  </si>
  <si>
    <t>•  Certificates &amp; Licenses</t>
  </si>
  <si>
    <t>•  Equipment Ownership</t>
  </si>
  <si>
    <t>•  Personnel</t>
  </si>
  <si>
    <t>•  Utilities</t>
  </si>
  <si>
    <t>•  Software</t>
  </si>
  <si>
    <t>•  Insurance</t>
  </si>
  <si>
    <t>•  Maintenance &amp; Repairs</t>
  </si>
  <si>
    <t>•  Standard Total Costs</t>
  </si>
  <si>
    <t>Purchase Price Per Unit</t>
  </si>
  <si>
    <t>Number of Units</t>
  </si>
  <si>
    <t>Annual 
Depreciation</t>
  </si>
  <si>
    <t>Salvage 
Value</t>
  </si>
  <si>
    <t>Number of 
Units</t>
  </si>
  <si>
    <t xml:space="preserve">Years of 
Economic Life </t>
  </si>
  <si>
    <t>Cost Per 
Flight</t>
  </si>
  <si>
    <t>Labor Cost ($/hr)</t>
  </si>
  <si>
    <t>Post-Processing</t>
  </si>
  <si>
    <t>Launching &amp; Landing Preparations</t>
  </si>
  <si>
    <t>Personnel Responsibilities</t>
  </si>
  <si>
    <t>Value</t>
  </si>
  <si>
    <t>Hull Insurance</t>
  </si>
  <si>
    <t>Flight Software</t>
  </si>
  <si>
    <t>Charger Power 
Requirements (Watts)</t>
  </si>
  <si>
    <t>Annual 
Cost</t>
  </si>
  <si>
    <t>Cost Per 
kWh</t>
  </si>
  <si>
    <t>Flight Parameters</t>
  </si>
  <si>
    <t>Number of Flights Conducted Yearly</t>
  </si>
  <si>
    <t>Average Number of Flights Conducted Weekly</t>
  </si>
  <si>
    <t xml:space="preserve">      Equipment Ownership</t>
  </si>
  <si>
    <t xml:space="preserve">      Certificates &amp; Licenses</t>
  </si>
  <si>
    <t xml:space="preserve">      Personnel</t>
  </si>
  <si>
    <t xml:space="preserve">      Utilities</t>
  </si>
  <si>
    <t xml:space="preserve">      Software</t>
  </si>
  <si>
    <t xml:space="preserve">      Insurance</t>
  </si>
  <si>
    <t xml:space="preserve">      Maintenance &amp; Repair</t>
  </si>
  <si>
    <t>Capital Expenditure</t>
  </si>
  <si>
    <t>Expenditures</t>
  </si>
  <si>
    <t>UAS Platform</t>
  </si>
  <si>
    <t xml:space="preserve">Average Flight Hours Per Month </t>
  </si>
  <si>
    <t>Months Flying Per Year</t>
  </si>
  <si>
    <t xml:space="preserve">Annual Cost </t>
  </si>
  <si>
    <t>Monthly Cost</t>
  </si>
  <si>
    <t>Hourly Cost</t>
  </si>
  <si>
    <t xml:space="preserve">      Water Damage</t>
  </si>
  <si>
    <t xml:space="preserve">      Sensors</t>
  </si>
  <si>
    <t xml:space="preserve">      Public Liability</t>
  </si>
  <si>
    <t xml:space="preserve">      Chemical Liability</t>
  </si>
  <si>
    <t>Liability Insurance</t>
  </si>
  <si>
    <t>Additional Insurance</t>
  </si>
  <si>
    <t>Insurance Information</t>
  </si>
  <si>
    <t xml:space="preserve">      Personal Injury Coverage</t>
  </si>
  <si>
    <t xml:space="preserve">      Payload Coverage</t>
  </si>
  <si>
    <t xml:space="preserve">      Ground Station Coverage</t>
  </si>
  <si>
    <t xml:space="preserve">      Non Owned Coverage</t>
  </si>
  <si>
    <t xml:space="preserve">* Home Owners insurance does not always provide UAS coverage and some exclude coverage for business activities. </t>
  </si>
  <si>
    <t>Insurance Quote</t>
  </si>
  <si>
    <t>Indicates values are currently not included in cost estimation.</t>
  </si>
  <si>
    <t>Indicates a drop down menu.</t>
  </si>
  <si>
    <t>Operational Expenditure</t>
  </si>
  <si>
    <t>* Taking into account weather conditions of flight location</t>
  </si>
  <si>
    <t>Insurance Packages</t>
  </si>
  <si>
    <t>Comparison of</t>
  </si>
  <si>
    <t xml:space="preserve">UAS Platform </t>
  </si>
  <si>
    <t>Maintenance</t>
  </si>
  <si>
    <t>Repairs</t>
  </si>
  <si>
    <t>* Impact of ineffective maintenance: Replacement cost of a lost UAS, cost of UAS accidents, reduced productivity due to loss of the actual time that the UAS is airborne, cancellation of contracts due to an on-site crash, liability exposure in the case of a crash causing personal injury, environmental damage or equipment damage</t>
  </si>
  <si>
    <t>* Condition Based Maintenance = Cost Savings + Higher System Reliability + Reduced Liability</t>
  </si>
  <si>
    <t xml:space="preserve">      Navigation System</t>
  </si>
  <si>
    <t xml:space="preserve">      Electronic System</t>
  </si>
  <si>
    <t xml:space="preserve">      Mainframe</t>
  </si>
  <si>
    <t xml:space="preserve">      Power Plant</t>
  </si>
  <si>
    <t xml:space="preserve">Spare Batteries </t>
  </si>
  <si>
    <t>Battery Charger</t>
  </si>
  <si>
    <t>Tent</t>
  </si>
  <si>
    <t>UAV &amp; Controller Station Package</t>
  </si>
  <si>
    <t>Parameters</t>
  </si>
  <si>
    <t>Interest Rate</t>
  </si>
  <si>
    <t xml:space="preserve">Flight Planning </t>
  </si>
  <si>
    <t>Visual Observer</t>
  </si>
  <si>
    <t>RTK Equipment</t>
  </si>
  <si>
    <t>Other</t>
  </si>
  <si>
    <t>Actual UAS Flying Time</t>
  </si>
  <si>
    <t xml:space="preserve">      Interest (Opportunity Cost)</t>
  </si>
  <si>
    <t>Average Number of Acres Covered per Flight</t>
  </si>
  <si>
    <t>Total Cost/Acre</t>
  </si>
  <si>
    <t>Purchase 
Price</t>
  </si>
  <si>
    <t>Years 
Valid</t>
  </si>
  <si>
    <t>Annual 
Interest</t>
  </si>
  <si>
    <t>Initial 
Cost</t>
  </si>
  <si>
    <t>Intial 
Cost</t>
  </si>
  <si>
    <t>Initial 
Value</t>
  </si>
  <si>
    <t>Maintenance 
&amp; Repair</t>
  </si>
  <si>
    <t>Interest Cost Per Flight</t>
  </si>
  <si>
    <t>Number of Charged Batteries Per Flight</t>
  </si>
  <si>
    <t>Duration of Charge Per Hour</t>
  </si>
  <si>
    <t>Total Investment Cost</t>
  </si>
  <si>
    <t>Duration of Time Allocated Per Flight (minutes)</t>
  </si>
  <si>
    <t>Unmanned Aircraft System (UAS) 
Cost Estimation Decision Aid</t>
  </si>
  <si>
    <t>Cost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</si>
</sst>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0432FF"/>
      <name val="Calibri"/>
      <family val="2"/>
      <scheme val="minor"/>
    </font>
    <font>
      <sz val="14"/>
      <color rgb="FFFFF1CB"/>
      <name val="Calibri"/>
      <family val="2"/>
      <scheme val="minor"/>
    </font>
    <font>
      <sz val="14"/>
      <color rgb="FF203E94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6E6059"/>
      <name val="Georgia"/>
      <family val="1"/>
    </font>
    <font>
      <sz val="14"/>
      <color rgb="FF333333"/>
      <name val="Arial"/>
      <family val="2"/>
    </font>
    <font>
      <sz val="14"/>
      <color rgb="FF000000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sz val="14"/>
      <color rgb="FF0432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1CB"/>
        <bgColor indexed="64"/>
      </patternFill>
    </fill>
    <fill>
      <patternFill patternType="solid">
        <fgColor rgb="FFF9F9F9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2" tint="-9.9948118533890809E-2"/>
      </left>
      <right style="dotted">
        <color theme="2" tint="-9.9948118533890809E-2"/>
      </right>
      <top/>
      <bottom style="double">
        <color indexed="64"/>
      </bottom>
      <diagonal/>
    </border>
    <border>
      <left style="dotted">
        <color theme="2" tint="-9.9948118533890809E-2"/>
      </left>
      <right style="dotted">
        <color theme="2" tint="-9.9948118533890809E-2"/>
      </right>
      <top/>
      <bottom/>
      <diagonal/>
    </border>
    <border>
      <left style="dotted">
        <color theme="2" tint="-9.9948118533890809E-2"/>
      </left>
      <right style="dotted">
        <color theme="2" tint="-9.9948118533890809E-2"/>
      </right>
      <top style="thin">
        <color indexed="64"/>
      </top>
      <bottom/>
      <diagonal/>
    </border>
    <border>
      <left style="dotted">
        <color theme="2" tint="-9.9917600024414813E-2"/>
      </left>
      <right/>
      <top/>
      <bottom/>
      <diagonal/>
    </border>
    <border>
      <left style="dotted">
        <color theme="2" tint="-9.9917600024414813E-2"/>
      </left>
      <right style="dotted">
        <color theme="2" tint="-9.9917600024414813E-2"/>
      </right>
      <top style="thin">
        <color indexed="64"/>
      </top>
      <bottom/>
      <diagonal/>
    </border>
    <border>
      <left style="dotted">
        <color theme="2" tint="-9.9917600024414813E-2"/>
      </left>
      <right style="dotted">
        <color theme="2" tint="-9.9917600024414813E-2"/>
      </right>
      <top/>
      <bottom style="double">
        <color indexed="64"/>
      </bottom>
      <diagonal/>
    </border>
    <border>
      <left style="dotted">
        <color theme="2" tint="-9.9917600024414813E-2"/>
      </left>
      <right/>
      <top/>
      <bottom style="double">
        <color indexed="64"/>
      </bottom>
      <diagonal/>
    </border>
    <border>
      <left style="dotted">
        <color theme="2" tint="-9.9917600024414813E-2"/>
      </left>
      <right style="dotted">
        <color theme="2" tint="-9.9917600024414813E-2"/>
      </right>
      <top/>
      <bottom/>
      <diagonal/>
    </border>
    <border>
      <left style="dotted">
        <color theme="2" tint="-9.9948118533890809E-2"/>
      </left>
      <right/>
      <top/>
      <bottom/>
      <diagonal/>
    </border>
    <border>
      <left style="dotted">
        <color theme="2" tint="-9.9948118533890809E-2"/>
      </left>
      <right/>
      <top style="thin">
        <color indexed="64"/>
      </top>
      <bottom/>
      <diagonal/>
    </border>
    <border>
      <left style="dotted">
        <color theme="2" tint="-9.9948118533890809E-2"/>
      </left>
      <right/>
      <top/>
      <bottom style="double">
        <color indexed="64"/>
      </bottom>
      <diagonal/>
    </border>
    <border>
      <left style="dotted">
        <color theme="2" tint="-9.9948118533890809E-2"/>
      </left>
      <right style="dotted">
        <color theme="2" tint="-9.9948118533890809E-2"/>
      </right>
      <top/>
      <bottom style="thin">
        <color indexed="64"/>
      </bottom>
      <diagonal/>
    </border>
    <border>
      <left style="dotted">
        <color theme="2" tint="-9.9948118533890809E-2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2" applyFont="1"/>
    <xf numFmtId="0" fontId="4" fillId="0" borderId="0" xfId="0" applyFont="1" applyFill="1" applyBorder="1"/>
    <xf numFmtId="0" fontId="5" fillId="0" borderId="0" xfId="2" applyFont="1" applyAlignment="1">
      <alignment horizontal="left"/>
    </xf>
    <xf numFmtId="0" fontId="4" fillId="2" borderId="2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3" borderId="2" xfId="0" applyFont="1" applyFill="1" applyBorder="1"/>
    <xf numFmtId="0" fontId="8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164" fontId="4" fillId="0" borderId="5" xfId="1" applyNumberFormat="1" applyFont="1" applyBorder="1"/>
    <xf numFmtId="44" fontId="4" fillId="0" borderId="5" xfId="1" applyNumberFormat="1" applyFont="1" applyBorder="1"/>
    <xf numFmtId="44" fontId="4" fillId="0" borderId="12" xfId="1" applyFont="1" applyBorder="1"/>
    <xf numFmtId="0" fontId="11" fillId="0" borderId="0" xfId="0" applyFont="1" applyBorder="1"/>
    <xf numFmtId="44" fontId="4" fillId="0" borderId="12" xfId="1" applyNumberFormat="1" applyFont="1" applyBorder="1"/>
    <xf numFmtId="0" fontId="3" fillId="0" borderId="3" xfId="0" applyFont="1" applyBorder="1"/>
    <xf numFmtId="164" fontId="3" fillId="0" borderId="6" xfId="1" applyNumberFormat="1" applyFont="1" applyBorder="1"/>
    <xf numFmtId="44" fontId="3" fillId="0" borderId="6" xfId="1" applyNumberFormat="1" applyFont="1" applyBorder="1"/>
    <xf numFmtId="44" fontId="3" fillId="0" borderId="13" xfId="1" applyFont="1" applyBorder="1"/>
    <xf numFmtId="0" fontId="3" fillId="0" borderId="0" xfId="0" applyFont="1" applyBorder="1"/>
    <xf numFmtId="164" fontId="3" fillId="0" borderId="0" xfId="1" applyNumberFormat="1" applyFont="1" applyBorder="1"/>
    <xf numFmtId="44" fontId="3" fillId="0" borderId="0" xfId="1" applyFont="1" applyBorder="1"/>
    <xf numFmtId="0" fontId="4" fillId="0" borderId="0" xfId="0" applyFont="1" applyBorder="1" applyAlignment="1">
      <alignment horizontal="center" wrapText="1"/>
    </xf>
    <xf numFmtId="164" fontId="4" fillId="0" borderId="0" xfId="1" applyNumberFormat="1" applyFont="1" applyBorder="1"/>
    <xf numFmtId="44" fontId="4" fillId="0" borderId="0" xfId="1" applyFont="1" applyBorder="1"/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12" fillId="0" borderId="5" xfId="0" applyFont="1" applyBorder="1" applyAlignment="1"/>
    <xf numFmtId="0" fontId="4" fillId="0" borderId="5" xfId="0" applyFont="1" applyBorder="1" applyAlignment="1">
      <alignment horizontal="right"/>
    </xf>
    <xf numFmtId="0" fontId="4" fillId="0" borderId="5" xfId="0" applyFont="1" applyBorder="1" applyAlignment="1"/>
    <xf numFmtId="0" fontId="13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164" fontId="10" fillId="0" borderId="5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44" fontId="4" fillId="0" borderId="12" xfId="0" applyNumberFormat="1" applyFont="1" applyBorder="1" applyAlignment="1">
      <alignment horizontal="center"/>
    </xf>
    <xf numFmtId="44" fontId="4" fillId="0" borderId="12" xfId="1" applyFont="1" applyBorder="1" applyAlignment="1">
      <alignment horizontal="center"/>
    </xf>
    <xf numFmtId="0" fontId="11" fillId="0" borderId="0" xfId="0" applyFont="1"/>
    <xf numFmtId="44" fontId="4" fillId="0" borderId="5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4" fontId="4" fillId="0" borderId="3" xfId="1" applyFont="1" applyBorder="1"/>
    <xf numFmtId="44" fontId="4" fillId="0" borderId="3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44" fontId="3" fillId="0" borderId="6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/>
    <xf numFmtId="0" fontId="4" fillId="0" borderId="7" xfId="0" applyFont="1" applyBorder="1"/>
    <xf numFmtId="0" fontId="6" fillId="0" borderId="11" xfId="0" applyFont="1" applyBorder="1" applyAlignment="1">
      <alignment horizontal="right"/>
    </xf>
    <xf numFmtId="44" fontId="4" fillId="0" borderId="11" xfId="0" applyNumberFormat="1" applyFont="1" applyBorder="1" applyAlignment="1">
      <alignment horizontal="left"/>
    </xf>
    <xf numFmtId="44" fontId="4" fillId="0" borderId="7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3" fillId="0" borderId="3" xfId="0" applyNumberFormat="1" applyFont="1" applyBorder="1"/>
    <xf numFmtId="164" fontId="3" fillId="0" borderId="8" xfId="0" applyNumberFormat="1" applyFont="1" applyBorder="1"/>
    <xf numFmtId="44" fontId="3" fillId="0" borderId="8" xfId="0" applyNumberFormat="1" applyFont="1" applyBorder="1"/>
    <xf numFmtId="44" fontId="4" fillId="0" borderId="0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4" fontId="4" fillId="0" borderId="5" xfId="1" applyNumberFormat="1" applyFont="1" applyBorder="1" applyAlignment="1">
      <alignment horizontal="left"/>
    </xf>
    <xf numFmtId="44" fontId="4" fillId="0" borderId="12" xfId="1" applyFont="1" applyBorder="1" applyAlignment="1">
      <alignment horizontal="left"/>
    </xf>
    <xf numFmtId="0" fontId="4" fillId="0" borderId="15" xfId="0" applyFont="1" applyBorder="1"/>
    <xf numFmtId="44" fontId="4" fillId="0" borderId="15" xfId="0" applyNumberFormat="1" applyFont="1" applyBorder="1" applyAlignment="1">
      <alignment horizontal="left"/>
    </xf>
    <xf numFmtId="1" fontId="4" fillId="0" borderId="16" xfId="0" applyNumberFormat="1" applyFont="1" applyBorder="1" applyAlignment="1">
      <alignment horizontal="left"/>
    </xf>
    <xf numFmtId="44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4" fontId="4" fillId="0" borderId="5" xfId="0" applyNumberFormat="1" applyFont="1" applyBorder="1"/>
    <xf numFmtId="44" fontId="4" fillId="0" borderId="12" xfId="0" applyNumberFormat="1" applyFont="1" applyBorder="1"/>
    <xf numFmtId="0" fontId="4" fillId="0" borderId="5" xfId="0" applyFont="1" applyBorder="1"/>
    <xf numFmtId="0" fontId="4" fillId="0" borderId="12" xfId="0" applyFont="1" applyBorder="1"/>
    <xf numFmtId="0" fontId="3" fillId="0" borderId="0" xfId="0" applyFont="1"/>
    <xf numFmtId="44" fontId="3" fillId="0" borderId="6" xfId="1" applyFont="1" applyBorder="1"/>
    <xf numFmtId="8" fontId="4" fillId="0" borderId="12" xfId="0" applyNumberFormat="1" applyFont="1" applyBorder="1"/>
    <xf numFmtId="6" fontId="3" fillId="0" borderId="3" xfId="0" applyNumberFormat="1" applyFont="1" applyBorder="1"/>
    <xf numFmtId="6" fontId="3" fillId="0" borderId="6" xfId="0" applyNumberFormat="1" applyFont="1" applyBorder="1"/>
    <xf numFmtId="44" fontId="3" fillId="0" borderId="6" xfId="0" applyNumberFormat="1" applyFont="1" applyBorder="1"/>
    <xf numFmtId="8" fontId="3" fillId="0" borderId="13" xfId="0" applyNumberFormat="1" applyFont="1" applyBorder="1"/>
    <xf numFmtId="0" fontId="4" fillId="0" borderId="1" xfId="0" applyFont="1" applyBorder="1" applyAlignment="1">
      <alignment vertical="center"/>
    </xf>
    <xf numFmtId="44" fontId="4" fillId="0" borderId="12" xfId="1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164" fontId="3" fillId="0" borderId="6" xfId="1" applyNumberFormat="1" applyFont="1" applyBorder="1" applyAlignment="1">
      <alignment horizontal="left"/>
    </xf>
    <xf numFmtId="44" fontId="3" fillId="0" borderId="6" xfId="1" applyNumberFormat="1" applyFont="1" applyBorder="1" applyAlignment="1">
      <alignment horizontal="left"/>
    </xf>
    <xf numFmtId="164" fontId="4" fillId="0" borderId="0" xfId="0" applyNumberFormat="1" applyFont="1"/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3" fillId="0" borderId="5" xfId="0" applyFont="1" applyBorder="1"/>
    <xf numFmtId="0" fontId="3" fillId="0" borderId="12" xfId="0" applyFont="1" applyBorder="1"/>
    <xf numFmtId="0" fontId="18" fillId="0" borderId="0" xfId="0" applyFont="1" applyAlignment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5" xfId="0" applyFont="1" applyBorder="1" applyProtection="1">
      <protection locked="0"/>
    </xf>
    <xf numFmtId="164" fontId="4" fillId="0" borderId="5" xfId="1" applyNumberFormat="1" applyFont="1" applyBorder="1" applyAlignment="1" applyProtection="1">
      <alignment horizontal="left"/>
      <protection locked="0"/>
    </xf>
    <xf numFmtId="0" fontId="17" fillId="4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4" fillId="0" borderId="5" xfId="0" applyFont="1" applyBorder="1" applyProtection="1">
      <protection locked="0"/>
    </xf>
    <xf numFmtId="164" fontId="14" fillId="0" borderId="5" xfId="1" applyNumberFormat="1" applyFont="1" applyBorder="1" applyAlignment="1" applyProtection="1">
      <alignment horizontal="left"/>
      <protection locked="0"/>
    </xf>
    <xf numFmtId="166" fontId="14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164" fontId="3" fillId="0" borderId="5" xfId="1" applyNumberFormat="1" applyFont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alignment vertical="center"/>
      <protection locked="0"/>
    </xf>
    <xf numFmtId="164" fontId="14" fillId="0" borderId="5" xfId="0" applyNumberFormat="1" applyFont="1" applyBorder="1" applyAlignment="1" applyProtection="1">
      <alignment horizontal="left"/>
      <protection locked="0"/>
    </xf>
    <xf numFmtId="0" fontId="14" fillId="0" borderId="12" xfId="0" applyFont="1" applyBorder="1" applyProtection="1">
      <protection locked="0"/>
    </xf>
    <xf numFmtId="0" fontId="14" fillId="0" borderId="5" xfId="0" applyFont="1" applyBorder="1" applyAlignment="1" applyProtection="1">
      <protection locked="0"/>
    </xf>
    <xf numFmtId="164" fontId="14" fillId="0" borderId="5" xfId="1" applyNumberFormat="1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protection locked="0"/>
    </xf>
    <xf numFmtId="9" fontId="14" fillId="0" borderId="0" xfId="3" applyFont="1" applyBorder="1" applyProtection="1">
      <protection locked="0"/>
    </xf>
    <xf numFmtId="1" fontId="14" fillId="0" borderId="0" xfId="3" applyNumberFormat="1" applyFont="1" applyBorder="1" applyProtection="1">
      <protection locked="0"/>
    </xf>
    <xf numFmtId="165" fontId="10" fillId="0" borderId="12" xfId="0" applyNumberFormat="1" applyFont="1" applyBorder="1" applyProtection="1"/>
    <xf numFmtId="0" fontId="20" fillId="0" borderId="11" xfId="0" applyFont="1" applyBorder="1" applyAlignment="1" applyProtection="1">
      <alignment horizontal="right"/>
      <protection locked="0"/>
    </xf>
    <xf numFmtId="164" fontId="20" fillId="0" borderId="11" xfId="1" applyNumberFormat="1" applyFont="1" applyBorder="1" applyAlignment="1" applyProtection="1">
      <alignment horizontal="left"/>
      <protection locked="0"/>
    </xf>
    <xf numFmtId="0" fontId="20" fillId="0" borderId="11" xfId="0" quotePrefix="1" applyFont="1" applyBorder="1" applyAlignment="1" applyProtection="1">
      <alignment horizontal="right"/>
      <protection locked="0"/>
    </xf>
    <xf numFmtId="1" fontId="14" fillId="0" borderId="5" xfId="0" applyNumberFormat="1" applyFont="1" applyBorder="1" applyProtection="1">
      <protection locked="0"/>
    </xf>
    <xf numFmtId="44" fontId="14" fillId="0" borderId="5" xfId="1" applyFont="1" applyBorder="1" applyProtection="1">
      <protection locked="0"/>
    </xf>
    <xf numFmtId="164" fontId="14" fillId="0" borderId="5" xfId="1" applyNumberFormat="1" applyFont="1" applyBorder="1" applyProtection="1">
      <protection locked="0"/>
    </xf>
    <xf numFmtId="0" fontId="10" fillId="0" borderId="5" xfId="0" applyFont="1" applyBorder="1" applyProtection="1"/>
    <xf numFmtId="44" fontId="4" fillId="0" borderId="12" xfId="1" applyNumberFormat="1" applyFont="1" applyBorder="1" applyAlignment="1" applyProtection="1">
      <alignment horizontal="left"/>
    </xf>
    <xf numFmtId="0" fontId="20" fillId="0" borderId="2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18">
    <dxf>
      <font>
        <color theme="2" tint="-0.24994659260841701"/>
      </font>
      <fill>
        <patternFill>
          <bgColor theme="0" tint="-4.9989318521683403E-2"/>
        </patternFill>
      </fill>
    </dxf>
    <dxf>
      <fill>
        <patternFill>
          <bgColor rgb="FFF9F9F9"/>
        </patternFill>
      </fill>
    </dxf>
    <dxf>
      <fill>
        <patternFill>
          <bgColor rgb="FFF9F9F9"/>
        </patternFill>
      </fill>
    </dxf>
    <dxf>
      <fill>
        <patternFill>
          <bgColor rgb="FFF7FFF3"/>
        </patternFill>
      </fill>
    </dxf>
    <dxf>
      <font>
        <color theme="9" tint="-0.24994659260841701"/>
      </font>
      <fill>
        <patternFill>
          <bgColor rgb="FFF7FFF3"/>
        </patternFill>
      </fill>
    </dxf>
    <dxf>
      <fill>
        <patternFill>
          <bgColor rgb="FFF9F9F9"/>
        </patternFill>
      </fill>
    </dxf>
    <dxf>
      <font>
        <color theme="9" tint="-0.24994659260841701"/>
      </font>
      <fill>
        <patternFill>
          <bgColor rgb="FFF7FFF3"/>
        </patternFill>
      </fill>
    </dxf>
    <dxf>
      <fill>
        <patternFill>
          <bgColor rgb="FFF9F9F9"/>
        </patternFill>
      </fill>
    </dxf>
    <dxf>
      <fill>
        <patternFill>
          <bgColor rgb="FFF9F9F9"/>
        </patternFill>
      </fill>
    </dxf>
    <dxf>
      <fill>
        <patternFill>
          <bgColor rgb="FFF9F9F9"/>
        </patternFill>
      </fill>
    </dxf>
    <dxf>
      <font>
        <color theme="2" tint="-0.24994659260841701"/>
      </font>
      <fill>
        <patternFill>
          <bgColor rgb="FFF2F2F2"/>
        </patternFill>
      </fill>
    </dxf>
    <dxf>
      <font>
        <color theme="2" tint="-0.24994659260841701"/>
      </font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9F9F9"/>
        </patternFill>
      </fill>
    </dxf>
    <dxf>
      <font>
        <color theme="2" tint="-0.24994659260841701"/>
      </font>
      <fill>
        <patternFill>
          <bgColor rgb="FFF2F2F2"/>
        </patternFill>
      </fill>
    </dxf>
    <dxf>
      <fill>
        <patternFill>
          <bgColor rgb="FFF9F9F9"/>
        </patternFill>
      </fill>
    </dxf>
    <dxf>
      <fill>
        <patternFill>
          <bgColor rgb="FFF9F9F9"/>
        </patternFill>
      </fill>
    </dxf>
    <dxf>
      <fill>
        <patternFill>
          <bgColor rgb="FFF9F9F9"/>
        </patternFill>
      </fill>
    </dxf>
  </dxfs>
  <tableStyles count="0" defaultTableStyle="TableStyleMedium2" defaultPivotStyle="PivotStyleLight16"/>
  <colors>
    <mruColors>
      <color rgb="FFF2F2F2"/>
      <color rgb="FFF9F9F9"/>
      <color rgb="FF0000FF"/>
      <color rgb="FFF7FFF3"/>
      <color rgb="FFFF3330"/>
      <color rgb="FFFFC7CE"/>
      <color rgb="FF9C0006"/>
      <color rgb="FFFFF1CB"/>
      <color rgb="FFFFB4B8"/>
      <color rgb="FFE7E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3</xdr:col>
      <xdr:colOff>60543</xdr:colOff>
      <xdr:row>4</xdr:row>
      <xdr:rowOff>139700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D5C9E9A-9086-2E42-ADA6-C28F93634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54000"/>
          <a:ext cx="3070443" cy="9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ECAE-242B-E44E-A0A1-73F395BF1180}">
  <sheetPr>
    <tabColor theme="0"/>
    <pageSetUpPr fitToPage="1"/>
  </sheetPr>
  <dimension ref="B3:L19"/>
  <sheetViews>
    <sheetView showGridLines="0" zoomScaleNormal="100" workbookViewId="0">
      <pane ySplit="5" topLeftCell="A6" activePane="bottomLeft" state="frozen"/>
      <selection pane="bottomLeft" activeCell="C34" sqref="C34"/>
    </sheetView>
  </sheetViews>
  <sheetFormatPr defaultColWidth="10.85546875" defaultRowHeight="20.100000000000001" customHeight="1" x14ac:dyDescent="0.3"/>
  <cols>
    <col min="1" max="2" width="10.85546875" style="3"/>
    <col min="3" max="3" width="19.85546875" style="3" bestFit="1" customWidth="1"/>
    <col min="4" max="4" width="8.42578125" style="3" customWidth="1"/>
    <col min="5" max="8" width="10.85546875" style="3"/>
    <col min="9" max="9" width="3.7109375" style="3" customWidth="1"/>
    <col min="10" max="10" width="59.85546875" style="3" bestFit="1" customWidth="1"/>
    <col min="11" max="16384" width="10.85546875" style="3"/>
  </cols>
  <sheetData>
    <row r="3" spans="2:12" ht="20.100000000000001" customHeight="1" x14ac:dyDescent="0.4">
      <c r="E3" s="119" t="s">
        <v>133</v>
      </c>
    </row>
    <row r="7" spans="2:12" ht="20.100000000000001" customHeight="1" thickBot="1" x14ac:dyDescent="0.35">
      <c r="B7" s="1" t="s">
        <v>26</v>
      </c>
      <c r="C7" s="2"/>
      <c r="D7" s="2"/>
      <c r="E7" s="2"/>
      <c r="H7" s="1" t="s">
        <v>34</v>
      </c>
      <c r="I7" s="2"/>
      <c r="J7" s="2"/>
      <c r="K7" s="4"/>
      <c r="L7" s="4"/>
    </row>
    <row r="8" spans="2:12" ht="20.100000000000001" customHeight="1" thickTop="1" x14ac:dyDescent="0.3"/>
    <row r="9" spans="2:12" ht="20.100000000000001" customHeight="1" x14ac:dyDescent="0.3">
      <c r="B9" s="5" t="s">
        <v>43</v>
      </c>
      <c r="C9" s="5"/>
      <c r="H9" s="155" t="s">
        <v>55</v>
      </c>
      <c r="J9" s="3" t="s">
        <v>35</v>
      </c>
    </row>
    <row r="10" spans="2:12" ht="20.100000000000001" customHeight="1" x14ac:dyDescent="0.3">
      <c r="H10" s="6"/>
    </row>
    <row r="11" spans="2:12" ht="20.100000000000001" customHeight="1" x14ac:dyDescent="0.3">
      <c r="C11" s="7" t="s">
        <v>37</v>
      </c>
      <c r="D11" s="5"/>
      <c r="H11" s="8"/>
      <c r="J11" s="9" t="s">
        <v>92</v>
      </c>
    </row>
    <row r="12" spans="2:12" ht="20.100000000000001" customHeight="1" x14ac:dyDescent="0.3">
      <c r="C12" s="7" t="s">
        <v>36</v>
      </c>
      <c r="D12" s="5"/>
      <c r="G12" s="10"/>
      <c r="J12" s="9"/>
    </row>
    <row r="13" spans="2:12" ht="20.100000000000001" customHeight="1" x14ac:dyDescent="0.3">
      <c r="C13" s="7" t="s">
        <v>38</v>
      </c>
      <c r="D13" s="5"/>
      <c r="H13" s="11"/>
      <c r="J13" s="3" t="s">
        <v>93</v>
      </c>
    </row>
    <row r="14" spans="2:12" ht="20.100000000000001" customHeight="1" x14ac:dyDescent="0.3">
      <c r="C14" s="7" t="s">
        <v>39</v>
      </c>
      <c r="D14" s="5"/>
    </row>
    <row r="15" spans="2:12" ht="20.100000000000001" customHeight="1" x14ac:dyDescent="0.3">
      <c r="C15" s="7" t="s">
        <v>40</v>
      </c>
      <c r="D15" s="5"/>
    </row>
    <row r="16" spans="2:12" ht="20.100000000000001" customHeight="1" x14ac:dyDescent="0.3">
      <c r="C16" s="7" t="s">
        <v>41</v>
      </c>
      <c r="D16" s="5"/>
    </row>
    <row r="17" spans="3:4" ht="20.100000000000001" customHeight="1" x14ac:dyDescent="0.3">
      <c r="C17" s="7" t="s">
        <v>42</v>
      </c>
      <c r="D17" s="5"/>
    </row>
    <row r="19" spans="3:4" ht="20.100000000000001" customHeight="1" x14ac:dyDescent="0.3">
      <c r="C19" s="12"/>
    </row>
  </sheetData>
  <conditionalFormatting sqref="H7:J12 B7:E17">
    <cfRule type="expression" dxfId="17" priority="1">
      <formula>MOD(ROW(),2)</formula>
    </cfRule>
  </conditionalFormatting>
  <hyperlinks>
    <hyperlink ref="B9" location="'Total Costs'!A1" display="•  Standard Total Costs" xr:uid="{A467C232-153F-AB4C-9EEC-FA229C60EC62}"/>
    <hyperlink ref="C11" location="'Equipment Ownership'!A1" display="•  Equipment Ownership" xr:uid="{C2281376-989B-EF43-B1E3-5008A8D449F7}"/>
    <hyperlink ref="C12" location="'Certificates &amp; Licenses'!A1" display="•  Certificates &amp; Licenses" xr:uid="{9A024130-54B7-8347-8ECC-E6589BD9FC0E}"/>
    <hyperlink ref="C13" location="Personnel!A1" display="•  Personnel" xr:uid="{97F704F6-1C57-184B-9544-EC133816FA4A}"/>
    <hyperlink ref="C14" location="Utilities!A1" display="•  Utilities" xr:uid="{F70CC4FD-84B9-2B41-8188-FA75100E245F}"/>
    <hyperlink ref="C15" location="Software!A1" display="•  Software" xr:uid="{48E32F69-8B21-6248-9673-97B9AE1D4258}"/>
    <hyperlink ref="C16" location="Insurance!A1" display="•  Insurance" xr:uid="{0271CF38-BB49-E944-BAF7-EF2C0DC4B9EB}"/>
    <hyperlink ref="C17" location="'Maintenance &amp; Repairs'!A1" display="•  Maintenance &amp; Repairs" xr:uid="{4684EA75-61B0-1248-966E-E3FF05EC08CD}"/>
  </hyperlinks>
  <pageMargins left="0.7" right="0.7" top="0.75" bottom="0.75" header="0.3" footer="0.3"/>
  <pageSetup scale="5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D007-7C5B-4D9B-842B-3DF46A2B43F9}">
  <sheetPr>
    <tabColor theme="5" tint="0.79998168889431442"/>
    <pageSetUpPr fitToPage="1"/>
  </sheetPr>
  <dimension ref="A3:G38"/>
  <sheetViews>
    <sheetView showGridLines="0" tabSelected="1" workbookViewId="0">
      <selection activeCell="C7" sqref="C7"/>
    </sheetView>
  </sheetViews>
  <sheetFormatPr defaultColWidth="8.85546875" defaultRowHeight="20.100000000000001" customHeight="1" x14ac:dyDescent="0.3"/>
  <cols>
    <col min="1" max="1" width="10.7109375" style="3" customWidth="1"/>
    <col min="2" max="2" width="53" style="3" bestFit="1" customWidth="1"/>
    <col min="3" max="5" width="15.85546875" style="3" customWidth="1"/>
    <col min="6" max="16384" width="8.85546875" style="3"/>
  </cols>
  <sheetData>
    <row r="3" spans="1:7" ht="36.950000000000003" customHeight="1" thickBot="1" x14ac:dyDescent="0.35">
      <c r="B3" s="13" t="s">
        <v>111</v>
      </c>
      <c r="C3" s="2"/>
    </row>
    <row r="4" spans="1:7" ht="20.100000000000001" customHeight="1" thickTop="1" x14ac:dyDescent="0.3">
      <c r="B4" s="3" t="s">
        <v>62</v>
      </c>
      <c r="C4" s="139">
        <v>52</v>
      </c>
    </row>
    <row r="5" spans="1:7" ht="20.100000000000001" customHeight="1" x14ac:dyDescent="0.3">
      <c r="B5" s="3" t="s">
        <v>63</v>
      </c>
      <c r="C5" s="146">
        <f>C4/52</f>
        <v>1</v>
      </c>
    </row>
    <row r="6" spans="1:7" ht="20.100000000000001" customHeight="1" x14ac:dyDescent="0.3">
      <c r="B6" s="3" t="s">
        <v>112</v>
      </c>
      <c r="C6" s="144">
        <v>0.06</v>
      </c>
    </row>
    <row r="7" spans="1:7" ht="20.100000000000001" customHeight="1" x14ac:dyDescent="0.3">
      <c r="B7" s="3" t="s">
        <v>119</v>
      </c>
      <c r="C7" s="145">
        <v>50</v>
      </c>
    </row>
    <row r="8" spans="1:7" ht="20.100000000000001" customHeight="1" x14ac:dyDescent="0.3">
      <c r="A8" s="4"/>
      <c r="B8" s="4"/>
      <c r="C8" s="4"/>
      <c r="D8" s="4"/>
      <c r="E8" s="4"/>
      <c r="F8" s="4"/>
      <c r="G8" s="4"/>
    </row>
    <row r="9" spans="1:7" ht="20.100000000000001" customHeight="1" x14ac:dyDescent="0.3">
      <c r="A9" s="4"/>
      <c r="C9" s="4"/>
      <c r="D9" s="4"/>
      <c r="E9" s="4"/>
      <c r="F9" s="4"/>
      <c r="G9" s="4"/>
    </row>
    <row r="10" spans="1:7" ht="20.100000000000001" customHeight="1" x14ac:dyDescent="0.3">
      <c r="A10" s="4"/>
      <c r="B10" s="4"/>
      <c r="C10" s="4"/>
      <c r="D10" s="4"/>
      <c r="E10" s="4"/>
      <c r="F10" s="4"/>
      <c r="G10" s="4"/>
    </row>
    <row r="11" spans="1:7" s="18" customFormat="1" ht="36.950000000000003" customHeight="1" thickBot="1" x14ac:dyDescent="0.35">
      <c r="A11" s="14"/>
      <c r="B11" s="120" t="s">
        <v>72</v>
      </c>
      <c r="C11" s="16" t="s">
        <v>124</v>
      </c>
      <c r="D11" s="16" t="s">
        <v>59</v>
      </c>
      <c r="E11" s="17" t="s">
        <v>50</v>
      </c>
      <c r="F11" s="14"/>
      <c r="G11" s="14"/>
    </row>
    <row r="12" spans="1:7" s="18" customFormat="1" ht="20.100000000000001" customHeight="1" thickTop="1" x14ac:dyDescent="0.3">
      <c r="A12" s="14"/>
      <c r="B12" s="14"/>
      <c r="C12" s="19"/>
      <c r="D12" s="19"/>
      <c r="E12" s="20"/>
      <c r="F12" s="14"/>
      <c r="G12" s="14"/>
    </row>
    <row r="13" spans="1:7" s="18" customFormat="1" ht="20.100000000000001" customHeight="1" x14ac:dyDescent="0.3">
      <c r="A13" s="14"/>
      <c r="B13" s="21" t="s">
        <v>71</v>
      </c>
      <c r="C13" s="19"/>
      <c r="D13" s="19"/>
      <c r="E13" s="20"/>
      <c r="F13" s="14"/>
      <c r="G13" s="14"/>
    </row>
    <row r="14" spans="1:7" ht="20.100000000000001" customHeight="1" x14ac:dyDescent="0.3">
      <c r="A14" s="4"/>
      <c r="B14" s="4" t="s">
        <v>64</v>
      </c>
      <c r="C14" s="22">
        <f>'Equipment Ownership'!$G$37</f>
        <v>2666</v>
      </c>
      <c r="D14" s="23">
        <f>'Equipment Ownership'!$H$37</f>
        <v>423.2</v>
      </c>
      <c r="E14" s="24">
        <f>'Equipment Ownership'!$I$37</f>
        <v>8.138461538461538</v>
      </c>
      <c r="F14" s="4"/>
      <c r="G14" s="4"/>
    </row>
    <row r="15" spans="1:7" ht="20.100000000000001" customHeight="1" x14ac:dyDescent="0.3">
      <c r="A15" s="4"/>
      <c r="B15" s="4" t="s">
        <v>118</v>
      </c>
      <c r="C15" s="22"/>
      <c r="D15" s="23">
        <f>'Equipment Ownership'!J37</f>
        <v>88.529999999999987</v>
      </c>
      <c r="E15" s="24">
        <f>'Equipment Ownership'!K37</f>
        <v>1.7024999999999997</v>
      </c>
      <c r="F15" s="4"/>
      <c r="G15" s="4"/>
    </row>
    <row r="16" spans="1:7" ht="20.100000000000001" customHeight="1" x14ac:dyDescent="0.3">
      <c r="A16" s="4"/>
      <c r="B16" s="4"/>
      <c r="C16" s="22"/>
      <c r="D16" s="23"/>
      <c r="E16" s="24"/>
      <c r="F16" s="4"/>
      <c r="G16" s="4"/>
    </row>
    <row r="17" spans="1:7" ht="20.100000000000001" customHeight="1" x14ac:dyDescent="0.3">
      <c r="A17" s="4"/>
      <c r="B17" s="25" t="s">
        <v>94</v>
      </c>
      <c r="C17" s="22"/>
      <c r="D17" s="23"/>
      <c r="E17" s="24"/>
      <c r="F17" s="4"/>
      <c r="G17" s="4"/>
    </row>
    <row r="18" spans="1:7" ht="20.100000000000001" customHeight="1" x14ac:dyDescent="0.3">
      <c r="A18" s="4"/>
      <c r="B18" s="4" t="s">
        <v>65</v>
      </c>
      <c r="C18" s="22">
        <f>'Certificates &amp; Licenses'!$D$12</f>
        <v>175</v>
      </c>
      <c r="D18" s="23">
        <f>'Certificates &amp; Licenses'!$E$12</f>
        <v>96.666666666666671</v>
      </c>
      <c r="E18" s="24">
        <f>'Certificates &amp; Licenses'!$F$12</f>
        <v>1.858974358974359</v>
      </c>
      <c r="F18" s="4"/>
      <c r="G18" s="4"/>
    </row>
    <row r="19" spans="1:7" ht="20.100000000000001" customHeight="1" x14ac:dyDescent="0.3">
      <c r="A19" s="4"/>
      <c r="B19" s="4" t="s">
        <v>66</v>
      </c>
      <c r="C19" s="22"/>
      <c r="D19" s="23">
        <f>Personnel!E12</f>
        <v>414.26666666666671</v>
      </c>
      <c r="E19" s="24">
        <f>Personnel!F12</f>
        <v>7.9666666666666677</v>
      </c>
      <c r="F19" s="4"/>
      <c r="G19" s="4"/>
    </row>
    <row r="20" spans="1:7" ht="20.100000000000001" customHeight="1" x14ac:dyDescent="0.3">
      <c r="A20" s="4"/>
      <c r="B20" s="4" t="s">
        <v>67</v>
      </c>
      <c r="C20" s="22"/>
      <c r="D20" s="23">
        <f>Utilities!G9</f>
        <v>1.04</v>
      </c>
      <c r="E20" s="26">
        <f>Utilities!H9</f>
        <v>0.02</v>
      </c>
      <c r="F20" s="4"/>
      <c r="G20" s="4"/>
    </row>
    <row r="21" spans="1:7" ht="20.100000000000001" customHeight="1" x14ac:dyDescent="0.3">
      <c r="A21" s="4"/>
      <c r="B21" s="4" t="s">
        <v>68</v>
      </c>
      <c r="C21" s="22">
        <f>Software!$D$8</f>
        <v>1000</v>
      </c>
      <c r="D21" s="23">
        <f>Software!E8</f>
        <v>1000</v>
      </c>
      <c r="E21" s="24">
        <f>Software!F8</f>
        <v>19.23076923076923</v>
      </c>
      <c r="F21" s="4"/>
      <c r="G21" s="4"/>
    </row>
    <row r="22" spans="1:7" ht="20.100000000000001" customHeight="1" x14ac:dyDescent="0.3">
      <c r="A22" s="4"/>
      <c r="B22" s="4" t="s">
        <v>69</v>
      </c>
      <c r="C22" s="22">
        <f>Insurance!$D$19</f>
        <v>600</v>
      </c>
      <c r="D22" s="23">
        <f>Insurance!$E$19</f>
        <v>600</v>
      </c>
      <c r="E22" s="24">
        <f>Insurance!$F$19</f>
        <v>11.538461538461538</v>
      </c>
      <c r="F22" s="4"/>
      <c r="G22" s="4"/>
    </row>
    <row r="23" spans="1:7" ht="20.100000000000001" customHeight="1" x14ac:dyDescent="0.3">
      <c r="A23" s="4"/>
      <c r="B23" s="4" t="s">
        <v>70</v>
      </c>
      <c r="C23" s="22"/>
      <c r="D23" s="23">
        <f>'Maintenance &amp; Repairs'!$F$19</f>
        <v>80</v>
      </c>
      <c r="E23" s="23">
        <f>'Maintenance &amp; Repairs'!$G$19</f>
        <v>1.5384615384615385</v>
      </c>
      <c r="F23" s="4"/>
      <c r="G23" s="4"/>
    </row>
    <row r="24" spans="1:7" ht="20.100000000000001" customHeight="1" x14ac:dyDescent="0.3">
      <c r="A24" s="4"/>
      <c r="B24" s="4"/>
      <c r="C24" s="22"/>
      <c r="D24" s="23"/>
      <c r="E24" s="24"/>
      <c r="F24" s="4"/>
      <c r="G24" s="4"/>
    </row>
    <row r="25" spans="1:7" ht="20.100000000000001" customHeight="1" x14ac:dyDescent="0.3">
      <c r="A25" s="4"/>
      <c r="B25" s="27" t="s">
        <v>24</v>
      </c>
      <c r="C25" s="28">
        <f>SUM(C14:C23)</f>
        <v>4441</v>
      </c>
      <c r="D25" s="29">
        <f>SUM(D14:D23)</f>
        <v>2703.7033333333334</v>
      </c>
      <c r="E25" s="30">
        <f>SUM(E14:E23)</f>
        <v>51.994294871794878</v>
      </c>
      <c r="F25" s="4"/>
      <c r="G25" s="4"/>
    </row>
    <row r="26" spans="1:7" ht="20.100000000000001" customHeight="1" x14ac:dyDescent="0.3">
      <c r="A26" s="4"/>
      <c r="B26" s="31" t="s">
        <v>120</v>
      </c>
      <c r="C26" s="32"/>
      <c r="D26" s="32"/>
      <c r="E26" s="33">
        <f>IFERROR(E25/C7,"")</f>
        <v>1.0398858974358975</v>
      </c>
      <c r="F26" s="4"/>
      <c r="G26" s="4"/>
    </row>
    <row r="27" spans="1:7" ht="20.100000000000001" customHeight="1" x14ac:dyDescent="0.3">
      <c r="A27" s="4"/>
      <c r="B27" s="4"/>
      <c r="C27" s="4"/>
      <c r="D27" s="4"/>
      <c r="E27" s="4"/>
      <c r="F27" s="4"/>
      <c r="G27" s="4"/>
    </row>
    <row r="28" spans="1:7" ht="18.75" x14ac:dyDescent="0.3">
      <c r="B28" s="4"/>
      <c r="C28" s="34"/>
      <c r="D28" s="34"/>
      <c r="E28" s="4"/>
    </row>
    <row r="29" spans="1:7" ht="20.100000000000001" customHeight="1" x14ac:dyDescent="0.3">
      <c r="B29" s="4"/>
      <c r="C29" s="35"/>
      <c r="D29" s="36"/>
      <c r="E29" s="4"/>
    </row>
    <row r="30" spans="1:7" ht="20.100000000000001" customHeight="1" x14ac:dyDescent="0.3">
      <c r="B30" s="4"/>
      <c r="C30" s="35"/>
      <c r="D30" s="36"/>
      <c r="E30" s="4"/>
    </row>
    <row r="31" spans="1:7" ht="20.100000000000001" customHeight="1" x14ac:dyDescent="0.3">
      <c r="B31" s="4"/>
      <c r="C31" s="35"/>
      <c r="D31" s="36"/>
      <c r="E31" s="4"/>
    </row>
    <row r="32" spans="1:7" ht="20.100000000000001" customHeight="1" x14ac:dyDescent="0.3">
      <c r="B32" s="4"/>
      <c r="C32" s="35"/>
      <c r="D32" s="35"/>
      <c r="E32" s="4"/>
    </row>
    <row r="33" spans="2:5" ht="20.100000000000001" customHeight="1" x14ac:dyDescent="0.3">
      <c r="B33" s="4"/>
      <c r="C33" s="35"/>
      <c r="D33" s="36"/>
      <c r="E33" s="4"/>
    </row>
    <row r="34" spans="2:5" ht="20.100000000000001" customHeight="1" x14ac:dyDescent="0.3">
      <c r="B34" s="4"/>
      <c r="C34" s="35"/>
      <c r="D34" s="36"/>
      <c r="E34" s="4"/>
    </row>
    <row r="35" spans="2:5" ht="20.100000000000001" customHeight="1" x14ac:dyDescent="0.3">
      <c r="B35" s="4"/>
      <c r="C35" s="35"/>
      <c r="D35" s="36"/>
      <c r="E35" s="4"/>
    </row>
    <row r="36" spans="2:5" ht="20.100000000000001" customHeight="1" x14ac:dyDescent="0.3">
      <c r="B36" s="4"/>
      <c r="C36" s="35"/>
      <c r="D36" s="36"/>
      <c r="E36" s="4"/>
    </row>
    <row r="37" spans="2:5" ht="20.100000000000001" customHeight="1" x14ac:dyDescent="0.3">
      <c r="B37" s="31"/>
      <c r="C37" s="32"/>
      <c r="D37" s="33"/>
      <c r="E37" s="4"/>
    </row>
    <row r="38" spans="2:5" ht="20.100000000000001" customHeight="1" x14ac:dyDescent="0.3">
      <c r="B38" s="4"/>
      <c r="C38" s="4"/>
      <c r="D38" s="4"/>
      <c r="E38" s="4"/>
    </row>
  </sheetData>
  <sheetProtection algorithmName="SHA-512" hashValue="Uc47HwW0foRAUA1iW3MEW2DdKhhKdGdj2CtTpsbM0FCCxVZdBHQWeY8/4KpDkkXJuIsvWpXqqupzS8RlOECrSQ==" saltValue="P9gmJZn4lQ1W3KAVlfVTxw==" spinCount="100000" sheet="1" objects="1" scenarios="1"/>
  <conditionalFormatting sqref="B3:C7 B11:E26">
    <cfRule type="expression" dxfId="16" priority="1">
      <formula>MOD(ROW(),2)</formula>
    </cfRule>
  </conditionalFormatting>
  <dataValidations count="2">
    <dataValidation type="decimal" allowBlank="1" showInputMessage="1" showErrorMessage="1" sqref="C6" xr:uid="{1FD84853-B369-47B3-8EC3-FB7BF25BB8D4}">
      <formula1>0</formula1>
      <formula2>1</formula2>
    </dataValidation>
    <dataValidation type="whole" operator="greaterThan" allowBlank="1" showInputMessage="1" showErrorMessage="1" sqref="C4" xr:uid="{AF692DC0-892D-4642-A3C4-F874A988711B}">
      <formula1>0</formula1>
    </dataValidation>
  </dataValidations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8394-84D7-4E4A-96CA-493B7FE87B0F}">
  <sheetPr>
    <tabColor theme="9" tint="0.79998168889431442"/>
    <pageSetUpPr fitToPage="1"/>
  </sheetPr>
  <dimension ref="A2:K37"/>
  <sheetViews>
    <sheetView showGridLines="0" zoomScaleNormal="100" workbookViewId="0">
      <pane ySplit="3" topLeftCell="A4" activePane="bottomLeft" state="frozen"/>
      <selection activeCell="C11" sqref="C11"/>
      <selection pane="bottomLeft" activeCell="G22" sqref="G22"/>
    </sheetView>
  </sheetViews>
  <sheetFormatPr defaultColWidth="10.7109375" defaultRowHeight="20.100000000000001" customHeight="1" x14ac:dyDescent="0.3"/>
  <cols>
    <col min="1" max="1" width="10.7109375" style="3"/>
    <col min="2" max="2" width="32.85546875" style="3" customWidth="1"/>
    <col min="3" max="11" width="15.85546875" style="3" customWidth="1"/>
    <col min="12" max="16384" width="10.7109375" style="3"/>
  </cols>
  <sheetData>
    <row r="2" spans="1:11" ht="20.10000000000000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39" customFormat="1" ht="57" thickBot="1" x14ac:dyDescent="0.3">
      <c r="A3" s="37"/>
      <c r="B3" s="38" t="s">
        <v>19</v>
      </c>
      <c r="C3" s="16" t="s">
        <v>48</v>
      </c>
      <c r="D3" s="16" t="s">
        <v>44</v>
      </c>
      <c r="E3" s="16" t="s">
        <v>49</v>
      </c>
      <c r="F3" s="16" t="s">
        <v>47</v>
      </c>
      <c r="G3" s="16" t="s">
        <v>124</v>
      </c>
      <c r="H3" s="16" t="s">
        <v>46</v>
      </c>
      <c r="I3" s="17" t="s">
        <v>50</v>
      </c>
      <c r="J3" s="17" t="s">
        <v>123</v>
      </c>
      <c r="K3" s="17" t="s">
        <v>128</v>
      </c>
    </row>
    <row r="4" spans="1:11" ht="20.100000000000001" customHeight="1" thickTop="1" x14ac:dyDescent="0.3">
      <c r="A4" s="4"/>
      <c r="B4" s="31"/>
      <c r="C4" s="40"/>
      <c r="D4" s="41"/>
      <c r="E4" s="40"/>
      <c r="F4" s="41"/>
      <c r="G4" s="41"/>
      <c r="H4" s="41"/>
      <c r="I4" s="42"/>
      <c r="J4" s="42"/>
      <c r="K4" s="42"/>
    </row>
    <row r="5" spans="1:11" ht="20.100000000000001" customHeight="1" x14ac:dyDescent="0.3">
      <c r="A5" s="4"/>
      <c r="B5" s="25" t="s">
        <v>2</v>
      </c>
      <c r="C5" s="43"/>
      <c r="D5" s="44"/>
      <c r="E5" s="45"/>
      <c r="F5" s="44"/>
      <c r="G5" s="46"/>
      <c r="H5" s="44"/>
      <c r="I5" s="47"/>
      <c r="J5" s="47"/>
      <c r="K5" s="47"/>
    </row>
    <row r="6" spans="1:11" ht="37.5" x14ac:dyDescent="0.3">
      <c r="A6" s="4"/>
      <c r="B6" s="48" t="s">
        <v>110</v>
      </c>
      <c r="C6" s="140">
        <v>1</v>
      </c>
      <c r="D6" s="141">
        <v>1600</v>
      </c>
      <c r="E6" s="140">
        <v>5</v>
      </c>
      <c r="F6" s="141">
        <v>500</v>
      </c>
      <c r="G6" s="49">
        <f t="shared" ref="G6:G13" si="0">D6*C6</f>
        <v>1600</v>
      </c>
      <c r="H6" s="50">
        <f>((D6-F6)/E6)*C6</f>
        <v>220</v>
      </c>
      <c r="I6" s="51">
        <f>H6/'Total Costs'!$C$4</f>
        <v>4.2307692307692308</v>
      </c>
      <c r="J6" s="51">
        <f>IF(C6=0,0,((D6+F6)/2)*'Total Costs'!$C$6)</f>
        <v>63</v>
      </c>
      <c r="K6" s="51">
        <f>J6/'Total Costs'!$C$4</f>
        <v>1.2115384615384615</v>
      </c>
    </row>
    <row r="7" spans="1:11" ht="20.100000000000001" customHeight="1" x14ac:dyDescent="0.3">
      <c r="A7" s="4"/>
      <c r="B7" s="4" t="s">
        <v>108</v>
      </c>
      <c r="C7" s="140">
        <v>0</v>
      </c>
      <c r="D7" s="141">
        <v>109</v>
      </c>
      <c r="E7" s="140">
        <v>5</v>
      </c>
      <c r="F7" s="141">
        <v>0</v>
      </c>
      <c r="G7" s="49">
        <f t="shared" ref="G7" si="1">D7*C7</f>
        <v>0</v>
      </c>
      <c r="H7" s="50">
        <f t="shared" ref="H7" si="2">((D7-F7)/E7)*C7</f>
        <v>0</v>
      </c>
      <c r="I7" s="51">
        <f>H7/'Total Costs'!$C$4</f>
        <v>0</v>
      </c>
      <c r="J7" s="51">
        <f>IF(C7=0,0,((D7+F7)/2)*'Total Costs'!$C$6)</f>
        <v>0</v>
      </c>
      <c r="K7" s="51">
        <f>J7/'Total Costs'!$C$4</f>
        <v>0</v>
      </c>
    </row>
    <row r="8" spans="1:11" ht="20.100000000000001" customHeight="1" x14ac:dyDescent="0.3">
      <c r="A8" s="4"/>
      <c r="B8" s="4" t="s">
        <v>12</v>
      </c>
      <c r="C8" s="140">
        <v>1</v>
      </c>
      <c r="D8" s="141">
        <v>500</v>
      </c>
      <c r="E8" s="140">
        <v>5</v>
      </c>
      <c r="F8" s="141">
        <v>50</v>
      </c>
      <c r="G8" s="49">
        <f t="shared" si="0"/>
        <v>500</v>
      </c>
      <c r="H8" s="50">
        <f t="shared" ref="H8:H12" si="3">((D8-F8)/E8)*C8</f>
        <v>90</v>
      </c>
      <c r="I8" s="52">
        <f>H8/'Total Costs'!$C$4</f>
        <v>1.7307692307692308</v>
      </c>
      <c r="J8" s="51">
        <f>IF(C8=0,0,((D8+F8)/2)*'Total Costs'!$C$6)</f>
        <v>16.5</v>
      </c>
      <c r="K8" s="52">
        <f>J8/'Total Costs'!$C$4</f>
        <v>0.31730769230769229</v>
      </c>
    </row>
    <row r="9" spans="1:11" ht="20.100000000000001" customHeight="1" x14ac:dyDescent="0.3">
      <c r="B9" s="3" t="s">
        <v>28</v>
      </c>
      <c r="C9" s="140">
        <v>5</v>
      </c>
      <c r="D9" s="141">
        <v>20</v>
      </c>
      <c r="E9" s="140">
        <v>5</v>
      </c>
      <c r="F9" s="141">
        <v>0</v>
      </c>
      <c r="G9" s="49">
        <f t="shared" si="0"/>
        <v>100</v>
      </c>
      <c r="H9" s="50">
        <f t="shared" si="3"/>
        <v>20</v>
      </c>
      <c r="I9" s="52">
        <f>H9/'Total Costs'!$C$4</f>
        <v>0.38461538461538464</v>
      </c>
      <c r="J9" s="51">
        <f>IF(C9=0,0,((D9+F9)/2)*'Total Costs'!$C$6)</f>
        <v>0.6</v>
      </c>
      <c r="K9" s="52">
        <f>J9/'Total Costs'!$C$4</f>
        <v>1.1538461538461537E-2</v>
      </c>
    </row>
    <row r="10" spans="1:11" ht="20.100000000000001" customHeight="1" x14ac:dyDescent="0.3">
      <c r="B10" s="3" t="s">
        <v>27</v>
      </c>
      <c r="C10" s="140">
        <v>1</v>
      </c>
      <c r="D10" s="141">
        <v>15</v>
      </c>
      <c r="E10" s="140">
        <v>5</v>
      </c>
      <c r="F10" s="141">
        <v>0</v>
      </c>
      <c r="G10" s="49">
        <f t="shared" si="0"/>
        <v>15</v>
      </c>
      <c r="H10" s="50">
        <f t="shared" si="3"/>
        <v>3</v>
      </c>
      <c r="I10" s="52">
        <f>H10/'Total Costs'!$C$4</f>
        <v>5.7692307692307696E-2</v>
      </c>
      <c r="J10" s="51">
        <f>IF(C10=0,0,((D10+F10)/2)*'Total Costs'!$C$6)</f>
        <v>0.44999999999999996</v>
      </c>
      <c r="K10" s="52">
        <f>J10/'Total Costs'!$C$4</f>
        <v>8.6538461538461526E-3</v>
      </c>
    </row>
    <row r="11" spans="1:11" ht="20.100000000000001" customHeight="1" x14ac:dyDescent="0.3">
      <c r="B11" s="3" t="s">
        <v>107</v>
      </c>
      <c r="C11" s="140">
        <v>2</v>
      </c>
      <c r="D11" s="141">
        <v>185</v>
      </c>
      <c r="E11" s="140">
        <v>5</v>
      </c>
      <c r="F11" s="141">
        <v>0</v>
      </c>
      <c r="G11" s="49">
        <f>D11*C11</f>
        <v>370</v>
      </c>
      <c r="H11" s="50">
        <f t="shared" si="3"/>
        <v>74</v>
      </c>
      <c r="I11" s="52">
        <f>H11/'Total Costs'!$C$4</f>
        <v>1.4230769230769231</v>
      </c>
      <c r="J11" s="51">
        <f>IF(C11=0,0,((D11+F11)/2)*'Total Costs'!$C$6)</f>
        <v>5.55</v>
      </c>
      <c r="K11" s="52">
        <f>J11/'Total Costs'!$C$4</f>
        <v>0.10673076923076923</v>
      </c>
    </row>
    <row r="12" spans="1:11" ht="19.5" customHeight="1" x14ac:dyDescent="0.3">
      <c r="B12" s="3" t="s">
        <v>6</v>
      </c>
      <c r="C12" s="140">
        <v>1</v>
      </c>
      <c r="D12" s="141">
        <v>20</v>
      </c>
      <c r="E12" s="140">
        <v>5</v>
      </c>
      <c r="F12" s="141">
        <v>0</v>
      </c>
      <c r="G12" s="49">
        <f t="shared" si="0"/>
        <v>20</v>
      </c>
      <c r="H12" s="50">
        <f t="shared" si="3"/>
        <v>4</v>
      </c>
      <c r="I12" s="52">
        <f>H12/'Total Costs'!$C$4</f>
        <v>7.6923076923076927E-2</v>
      </c>
      <c r="J12" s="51">
        <f>IF(C12=0,0,((D12+F12)/2)*'Total Costs'!$C$6)</f>
        <v>0.6</v>
      </c>
      <c r="K12" s="52">
        <f>J12/'Total Costs'!$C$4</f>
        <v>1.1538461538461537E-2</v>
      </c>
    </row>
    <row r="13" spans="1:11" ht="20.100000000000001" customHeight="1" x14ac:dyDescent="0.3">
      <c r="B13" s="3" t="s">
        <v>7</v>
      </c>
      <c r="C13" s="140">
        <v>1</v>
      </c>
      <c r="D13" s="141">
        <v>11</v>
      </c>
      <c r="E13" s="140">
        <v>5</v>
      </c>
      <c r="F13" s="141">
        <v>0</v>
      </c>
      <c r="G13" s="49">
        <f t="shared" si="0"/>
        <v>11</v>
      </c>
      <c r="H13" s="50">
        <f>((D13-F13)/E13)*C13</f>
        <v>2.2000000000000002</v>
      </c>
      <c r="I13" s="52">
        <f>H13/'Total Costs'!$C$4</f>
        <v>4.230769230769231E-2</v>
      </c>
      <c r="J13" s="51">
        <f>IF(C13=0,0,((D13+F13)/2)*'Total Costs'!$C$6)</f>
        <v>0.32999999999999996</v>
      </c>
      <c r="K13" s="52">
        <f>J13/'Total Costs'!$C$4</f>
        <v>6.3461538461538451E-3</v>
      </c>
    </row>
    <row r="14" spans="1:11" ht="20.100000000000001" customHeight="1" x14ac:dyDescent="0.3">
      <c r="C14" s="140"/>
      <c r="D14" s="141"/>
      <c r="E14" s="140"/>
      <c r="F14" s="142"/>
      <c r="G14" s="49"/>
      <c r="H14" s="50"/>
      <c r="I14" s="52"/>
      <c r="J14" s="52"/>
      <c r="K14" s="52"/>
    </row>
    <row r="15" spans="1:11" ht="20.100000000000001" customHeight="1" x14ac:dyDescent="0.3">
      <c r="B15" s="53" t="s">
        <v>4</v>
      </c>
      <c r="C15" s="143"/>
      <c r="D15" s="141"/>
      <c r="E15" s="140"/>
      <c r="F15" s="142"/>
      <c r="G15" s="49"/>
      <c r="H15" s="50"/>
      <c r="I15" s="52"/>
      <c r="J15" s="52"/>
      <c r="K15" s="52"/>
    </row>
    <row r="16" spans="1:11" ht="20.100000000000001" customHeight="1" x14ac:dyDescent="0.3">
      <c r="B16" s="126" t="s">
        <v>18</v>
      </c>
      <c r="C16" s="140">
        <v>0</v>
      </c>
      <c r="D16" s="141">
        <v>200</v>
      </c>
      <c r="E16" s="140">
        <v>5</v>
      </c>
      <c r="F16" s="141">
        <v>20</v>
      </c>
      <c r="G16" s="49">
        <f>D16*C16</f>
        <v>0</v>
      </c>
      <c r="H16" s="50">
        <f>((D16-F16)/E16)*C16</f>
        <v>0</v>
      </c>
      <c r="I16" s="52">
        <f>H16/'Total Costs'!$C$4</f>
        <v>0</v>
      </c>
      <c r="J16" s="51">
        <f>IF(C16=0,0,((D16+F16)/2)*'Total Costs'!$C$6)</f>
        <v>0</v>
      </c>
      <c r="K16" s="52">
        <f>J16/'Total Costs'!$C$4</f>
        <v>0</v>
      </c>
    </row>
    <row r="17" spans="2:11" ht="20.100000000000001" customHeight="1" x14ac:dyDescent="0.3">
      <c r="B17" s="126" t="s">
        <v>5</v>
      </c>
      <c r="C17" s="140">
        <v>0</v>
      </c>
      <c r="D17" s="141">
        <v>15</v>
      </c>
      <c r="E17" s="140">
        <v>5</v>
      </c>
      <c r="F17" s="141">
        <v>0</v>
      </c>
      <c r="G17" s="49">
        <f t="shared" ref="G17:G22" si="4">D17*C17</f>
        <v>0</v>
      </c>
      <c r="H17" s="50">
        <f t="shared" ref="H17:H22" si="5">((D17-F17)/E17)*C17</f>
        <v>0</v>
      </c>
      <c r="I17" s="52">
        <f>H17/'Total Costs'!$C$4</f>
        <v>0</v>
      </c>
      <c r="J17" s="51">
        <f>IF(C17=0,0,((D17+F17)/2)*'Total Costs'!$C$6)</f>
        <v>0</v>
      </c>
      <c r="K17" s="52">
        <f>J17/'Total Costs'!$C$4</f>
        <v>0</v>
      </c>
    </row>
    <row r="18" spans="2:11" ht="20.100000000000001" customHeight="1" x14ac:dyDescent="0.3">
      <c r="B18" s="126" t="s">
        <v>13</v>
      </c>
      <c r="C18" s="140">
        <v>0</v>
      </c>
      <c r="D18" s="141">
        <v>8000</v>
      </c>
      <c r="E18" s="140">
        <v>5</v>
      </c>
      <c r="F18" s="141">
        <v>3000</v>
      </c>
      <c r="G18" s="49">
        <f t="shared" si="4"/>
        <v>0</v>
      </c>
      <c r="H18" s="54">
        <f t="shared" si="5"/>
        <v>0</v>
      </c>
      <c r="I18" s="52">
        <f>H18/'Total Costs'!$C$4</f>
        <v>0</v>
      </c>
      <c r="J18" s="51">
        <f>IF(C18=0,0,((D18+F18)/2)*'Total Costs'!$C$6)</f>
        <v>0</v>
      </c>
      <c r="K18" s="52">
        <f>J18/'Total Costs'!$C$4</f>
        <v>0</v>
      </c>
    </row>
    <row r="19" spans="2:11" ht="20.100000000000001" customHeight="1" x14ac:dyDescent="0.3">
      <c r="B19" s="126" t="s">
        <v>29</v>
      </c>
      <c r="C19" s="140">
        <v>0</v>
      </c>
      <c r="D19" s="141">
        <v>2000</v>
      </c>
      <c r="E19" s="140">
        <v>5</v>
      </c>
      <c r="F19" s="141">
        <v>500</v>
      </c>
      <c r="G19" s="49">
        <f t="shared" si="4"/>
        <v>0</v>
      </c>
      <c r="H19" s="54">
        <f t="shared" si="5"/>
        <v>0</v>
      </c>
      <c r="I19" s="52">
        <f>H19/'Total Costs'!$C$4</f>
        <v>0</v>
      </c>
      <c r="J19" s="51">
        <f>IF(C19=0,0,((D19+F19)/2)*'Total Costs'!$C$6)</f>
        <v>0</v>
      </c>
      <c r="K19" s="52">
        <f>J19/'Total Costs'!$C$4</f>
        <v>0</v>
      </c>
    </row>
    <row r="20" spans="2:11" ht="20.100000000000001" customHeight="1" x14ac:dyDescent="0.3">
      <c r="B20" s="126" t="s">
        <v>15</v>
      </c>
      <c r="C20" s="140">
        <v>0</v>
      </c>
      <c r="D20" s="141">
        <v>2000</v>
      </c>
      <c r="E20" s="140">
        <v>5</v>
      </c>
      <c r="F20" s="141">
        <v>0</v>
      </c>
      <c r="G20" s="49">
        <f t="shared" si="4"/>
        <v>0</v>
      </c>
      <c r="H20" s="54">
        <f t="shared" si="5"/>
        <v>0</v>
      </c>
      <c r="I20" s="52">
        <f>H20/'Total Costs'!$C$4</f>
        <v>0</v>
      </c>
      <c r="J20" s="51">
        <f>IF(C20=0,0,((D20+F20)/2)*'Total Costs'!$C$6)</f>
        <v>0</v>
      </c>
      <c r="K20" s="52">
        <f>J20/'Total Costs'!$C$4</f>
        <v>0</v>
      </c>
    </row>
    <row r="21" spans="2:11" ht="20.100000000000001" customHeight="1" x14ac:dyDescent="0.3">
      <c r="B21" s="126" t="s">
        <v>16</v>
      </c>
      <c r="C21" s="140">
        <v>0</v>
      </c>
      <c r="D21" s="141">
        <v>1000</v>
      </c>
      <c r="E21" s="140">
        <v>5</v>
      </c>
      <c r="F21" s="141">
        <v>0</v>
      </c>
      <c r="G21" s="49">
        <f t="shared" si="4"/>
        <v>0</v>
      </c>
      <c r="H21" s="54">
        <f t="shared" si="5"/>
        <v>0</v>
      </c>
      <c r="I21" s="52">
        <f>H21/'Total Costs'!$C$4</f>
        <v>0</v>
      </c>
      <c r="J21" s="51">
        <f>IF(C21=0,0,((D21+F21)/2)*'Total Costs'!$C$6)</f>
        <v>0</v>
      </c>
      <c r="K21" s="52">
        <f>J21/'Total Costs'!$C$4</f>
        <v>0</v>
      </c>
    </row>
    <row r="22" spans="2:11" ht="20.100000000000001" customHeight="1" x14ac:dyDescent="0.3">
      <c r="B22" s="126" t="s">
        <v>14</v>
      </c>
      <c r="C22" s="140">
        <v>1</v>
      </c>
      <c r="D22" s="141">
        <v>50</v>
      </c>
      <c r="E22" s="140">
        <v>5</v>
      </c>
      <c r="F22" s="141">
        <v>0</v>
      </c>
      <c r="G22" s="49">
        <f t="shared" si="4"/>
        <v>50</v>
      </c>
      <c r="H22" s="54">
        <f t="shared" si="5"/>
        <v>10</v>
      </c>
      <c r="I22" s="52">
        <f>H22/'Total Costs'!$C$4</f>
        <v>0.19230769230769232</v>
      </c>
      <c r="J22" s="51">
        <f>IF(C22=0,0,((D22+F22)/2)*'Total Costs'!$C$6)</f>
        <v>1.5</v>
      </c>
      <c r="K22" s="52">
        <f>J22/'Total Costs'!$C$4</f>
        <v>2.8846153846153848E-2</v>
      </c>
    </row>
    <row r="23" spans="2:11" ht="20.100000000000001" customHeight="1" x14ac:dyDescent="0.3">
      <c r="B23" s="126" t="s">
        <v>23</v>
      </c>
      <c r="C23" s="140">
        <v>0</v>
      </c>
      <c r="D23" s="141">
        <v>500</v>
      </c>
      <c r="E23" s="140">
        <v>5</v>
      </c>
      <c r="F23" s="141">
        <v>0</v>
      </c>
      <c r="G23" s="49">
        <f t="shared" ref="G23:G24" si="6">D23*C23</f>
        <v>0</v>
      </c>
      <c r="H23" s="54">
        <f t="shared" ref="H23:H24" si="7">((D23-F23)/E23)*C23</f>
        <v>0</v>
      </c>
      <c r="I23" s="52">
        <f>H23/'Total Costs'!$C$4</f>
        <v>0</v>
      </c>
      <c r="J23" s="51">
        <f>IF(C23=0,0,((D23+F23)/2)*'Total Costs'!$C$6)</f>
        <v>0</v>
      </c>
      <c r="K23" s="52">
        <f>J23/'Total Costs'!$C$4</f>
        <v>0</v>
      </c>
    </row>
    <row r="24" spans="2:11" ht="20.100000000000001" customHeight="1" x14ac:dyDescent="0.3">
      <c r="B24" s="126" t="s">
        <v>115</v>
      </c>
      <c r="C24" s="140">
        <v>0</v>
      </c>
      <c r="D24" s="141">
        <v>5000</v>
      </c>
      <c r="E24" s="140">
        <v>10</v>
      </c>
      <c r="F24" s="141">
        <v>2500</v>
      </c>
      <c r="G24" s="49">
        <f t="shared" si="6"/>
        <v>0</v>
      </c>
      <c r="H24" s="54">
        <f t="shared" si="7"/>
        <v>0</v>
      </c>
      <c r="I24" s="52">
        <f>H24/'Total Costs'!$C$4</f>
        <v>0</v>
      </c>
      <c r="J24" s="51">
        <f>IF(C24=0,0,((D24+F24)/2)*'Total Costs'!$C$6)</f>
        <v>0</v>
      </c>
      <c r="K24" s="52">
        <f>J24/'Total Costs'!$C$4</f>
        <v>0</v>
      </c>
    </row>
    <row r="25" spans="2:11" ht="20.100000000000001" customHeight="1" x14ac:dyDescent="0.3">
      <c r="C25" s="140"/>
      <c r="D25" s="142"/>
      <c r="E25" s="140"/>
      <c r="F25" s="142"/>
      <c r="G25" s="49"/>
      <c r="H25" s="50"/>
      <c r="I25" s="52"/>
      <c r="J25" s="52"/>
      <c r="K25" s="52"/>
    </row>
    <row r="26" spans="2:11" ht="20.100000000000001" customHeight="1" x14ac:dyDescent="0.3">
      <c r="B26" s="53" t="s">
        <v>30</v>
      </c>
      <c r="C26" s="140"/>
      <c r="D26" s="141"/>
      <c r="E26" s="140"/>
      <c r="F26" s="142"/>
      <c r="G26" s="49"/>
      <c r="H26" s="50"/>
      <c r="I26" s="52"/>
      <c r="J26" s="52"/>
      <c r="K26" s="52"/>
    </row>
    <row r="27" spans="2:11" ht="20.100000000000001" customHeight="1" x14ac:dyDescent="0.3">
      <c r="B27" s="126" t="s">
        <v>10</v>
      </c>
      <c r="C27" s="140">
        <v>0</v>
      </c>
      <c r="D27" s="141">
        <v>50</v>
      </c>
      <c r="E27" s="140">
        <v>5</v>
      </c>
      <c r="F27" s="141">
        <v>0</v>
      </c>
      <c r="G27" s="49">
        <f>D27*C27</f>
        <v>0</v>
      </c>
      <c r="H27" s="50">
        <f>((D27-F27)/E27)*C27</f>
        <v>0</v>
      </c>
      <c r="I27" s="52">
        <f>H27/'Total Costs'!$C$4</f>
        <v>0</v>
      </c>
      <c r="J27" s="52">
        <f>I27/'Total Costs'!$C$4</f>
        <v>0</v>
      </c>
      <c r="K27" s="52">
        <f>J27/'Total Costs'!$C$4</f>
        <v>0</v>
      </c>
    </row>
    <row r="28" spans="2:11" ht="20.100000000000001" customHeight="1" x14ac:dyDescent="0.3">
      <c r="B28" s="126" t="s">
        <v>9</v>
      </c>
      <c r="C28" s="140">
        <v>0</v>
      </c>
      <c r="D28" s="141">
        <v>100</v>
      </c>
      <c r="E28" s="140">
        <v>10</v>
      </c>
      <c r="F28" s="141">
        <v>0</v>
      </c>
      <c r="G28" s="49">
        <f>D28*C28</f>
        <v>0</v>
      </c>
      <c r="H28" s="50">
        <f>((D28-F28)/E28)*C28</f>
        <v>0</v>
      </c>
      <c r="I28" s="52">
        <f>H28/'Total Costs'!$C$4</f>
        <v>0</v>
      </c>
      <c r="J28" s="52">
        <f>I28/'Total Costs'!$C$4</f>
        <v>0</v>
      </c>
      <c r="K28" s="52">
        <f>J28/'Total Costs'!$C$4</f>
        <v>0</v>
      </c>
    </row>
    <row r="29" spans="2:11" ht="20.100000000000001" customHeight="1" x14ac:dyDescent="0.3">
      <c r="B29" s="126" t="s">
        <v>8</v>
      </c>
      <c r="C29" s="140">
        <v>0</v>
      </c>
      <c r="D29" s="141">
        <v>1500</v>
      </c>
      <c r="E29" s="140">
        <v>5</v>
      </c>
      <c r="F29" s="141">
        <v>0</v>
      </c>
      <c r="G29" s="49">
        <f>D29*C29</f>
        <v>0</v>
      </c>
      <c r="H29" s="50">
        <f>((D29-F29)/E29)*C29</f>
        <v>0</v>
      </c>
      <c r="I29" s="52">
        <f>H29/'Total Costs'!$C$4</f>
        <v>0</v>
      </c>
      <c r="J29" s="52">
        <f>I29/'Total Costs'!$C$4</f>
        <v>0</v>
      </c>
      <c r="K29" s="52">
        <f>J29/'Total Costs'!$C$4</f>
        <v>0</v>
      </c>
    </row>
    <row r="30" spans="2:11" ht="20.100000000000001" customHeight="1" x14ac:dyDescent="0.3">
      <c r="B30" s="126" t="s">
        <v>17</v>
      </c>
      <c r="C30" s="140">
        <v>0</v>
      </c>
      <c r="D30" s="141">
        <v>500</v>
      </c>
      <c r="E30" s="140">
        <v>5</v>
      </c>
      <c r="F30" s="141">
        <v>0</v>
      </c>
      <c r="G30" s="55"/>
      <c r="H30" s="50"/>
      <c r="I30" s="52"/>
      <c r="J30" s="52">
        <f>I30/'Total Costs'!$C$4</f>
        <v>0</v>
      </c>
      <c r="K30" s="52"/>
    </row>
    <row r="31" spans="2:11" ht="20.100000000000001" customHeight="1" x14ac:dyDescent="0.3">
      <c r="B31" s="126" t="s">
        <v>20</v>
      </c>
      <c r="C31" s="140">
        <v>0</v>
      </c>
      <c r="D31" s="141">
        <v>1000</v>
      </c>
      <c r="E31" s="140">
        <v>20</v>
      </c>
      <c r="F31" s="141">
        <v>600</v>
      </c>
      <c r="G31" s="49">
        <f>D31*C31</f>
        <v>0</v>
      </c>
      <c r="H31" s="50">
        <f>((D31-F31)/E31)*C31</f>
        <v>0</v>
      </c>
      <c r="I31" s="52">
        <f>H31/'Total Costs'!$C$4</f>
        <v>0</v>
      </c>
      <c r="J31" s="52">
        <f>I31/'Total Costs'!$C$4</f>
        <v>0</v>
      </c>
      <c r="K31" s="52">
        <f>J31/'Total Costs'!$C$4</f>
        <v>0</v>
      </c>
    </row>
    <row r="32" spans="2:11" ht="20.100000000000001" customHeight="1" x14ac:dyDescent="0.3">
      <c r="B32" s="126" t="s">
        <v>21</v>
      </c>
      <c r="C32" s="140">
        <v>0</v>
      </c>
      <c r="D32" s="141">
        <v>5</v>
      </c>
      <c r="E32" s="140">
        <v>4.5</v>
      </c>
      <c r="F32" s="141">
        <v>0</v>
      </c>
      <c r="G32" s="49">
        <f>D32*C32</f>
        <v>0</v>
      </c>
      <c r="H32" s="50">
        <f>((D32-F32)/E32)*C32</f>
        <v>0</v>
      </c>
      <c r="I32" s="52">
        <f>H32/'Total Costs'!$C$4</f>
        <v>0</v>
      </c>
      <c r="J32" s="52">
        <f>I32/'Total Costs'!$C$4</f>
        <v>0</v>
      </c>
      <c r="K32" s="52">
        <f>J32/'Total Costs'!$C$4</f>
        <v>0</v>
      </c>
    </row>
    <row r="33" spans="2:11" ht="20.100000000000001" customHeight="1" x14ac:dyDescent="0.3">
      <c r="B33" s="126" t="s">
        <v>14</v>
      </c>
      <c r="C33" s="140">
        <v>0</v>
      </c>
      <c r="D33" s="141">
        <v>75</v>
      </c>
      <c r="E33" s="140">
        <v>4.5</v>
      </c>
      <c r="F33" s="141">
        <v>0</v>
      </c>
      <c r="G33" s="49">
        <f>D33*C33</f>
        <v>0</v>
      </c>
      <c r="H33" s="50">
        <f>((D33-F33)/E33)*C33</f>
        <v>0</v>
      </c>
      <c r="I33" s="52">
        <f>H33/'Total Costs'!$C$4</f>
        <v>0</v>
      </c>
      <c r="J33" s="52">
        <f>I33/'Total Costs'!$C$4</f>
        <v>0</v>
      </c>
      <c r="K33" s="52">
        <f>J33/'Total Costs'!$C$4</f>
        <v>0</v>
      </c>
    </row>
    <row r="34" spans="2:11" ht="20.100000000000001" customHeight="1" x14ac:dyDescent="0.3">
      <c r="B34" s="126" t="s">
        <v>109</v>
      </c>
      <c r="C34" s="140">
        <v>0</v>
      </c>
      <c r="D34" s="141">
        <v>200</v>
      </c>
      <c r="E34" s="140">
        <v>3</v>
      </c>
      <c r="F34" s="141">
        <v>0</v>
      </c>
      <c r="G34" s="49">
        <f>D34*C34</f>
        <v>0</v>
      </c>
      <c r="H34" s="50">
        <f>((D34-F34)/E34)*C34</f>
        <v>0</v>
      </c>
      <c r="I34" s="52"/>
      <c r="J34" s="52">
        <f>I34/'Total Costs'!$C$4</f>
        <v>0</v>
      </c>
      <c r="K34" s="52"/>
    </row>
    <row r="35" spans="2:11" ht="20.100000000000001" customHeight="1" x14ac:dyDescent="0.3">
      <c r="B35" s="126" t="s">
        <v>22</v>
      </c>
      <c r="C35" s="140">
        <v>0</v>
      </c>
      <c r="D35" s="141">
        <v>5</v>
      </c>
      <c r="E35" s="140">
        <v>4.5</v>
      </c>
      <c r="F35" s="141">
        <v>0</v>
      </c>
      <c r="G35" s="49">
        <f>D35*C35</f>
        <v>0</v>
      </c>
      <c r="H35" s="50">
        <f>((D35-F35)/E35)*C35</f>
        <v>0</v>
      </c>
      <c r="I35" s="52">
        <f>H35/'Total Costs'!$C$4</f>
        <v>0</v>
      </c>
      <c r="J35" s="52">
        <f>I35/'Total Costs'!$C$4</f>
        <v>0</v>
      </c>
      <c r="K35" s="52">
        <f>J35/'Total Costs'!$C$4</f>
        <v>0</v>
      </c>
    </row>
    <row r="36" spans="2:11" ht="20.100000000000001" customHeight="1" x14ac:dyDescent="0.3">
      <c r="C36" s="56"/>
      <c r="D36" s="57"/>
      <c r="E36" s="56"/>
      <c r="F36" s="58"/>
      <c r="G36" s="57"/>
      <c r="H36" s="57"/>
      <c r="I36" s="59"/>
      <c r="J36" s="59"/>
      <c r="K36" s="59"/>
    </row>
    <row r="37" spans="2:11" ht="20.100000000000001" customHeight="1" x14ac:dyDescent="0.3">
      <c r="B37" s="27" t="s">
        <v>131</v>
      </c>
      <c r="C37" s="60"/>
      <c r="D37" s="61"/>
      <c r="E37" s="62"/>
      <c r="F37" s="63"/>
      <c r="G37" s="64">
        <f>SUM(G6:G35)</f>
        <v>2666</v>
      </c>
      <c r="H37" s="64">
        <f>SUM(H6:H35)</f>
        <v>423.2</v>
      </c>
      <c r="I37" s="65">
        <f>SUM(I6:I35)</f>
        <v>8.138461538461538</v>
      </c>
      <c r="J37" s="65">
        <f>SUM(J6:J35)</f>
        <v>88.529999999999987</v>
      </c>
      <c r="K37" s="65">
        <f>SUM(K6:K35)</f>
        <v>1.7024999999999997</v>
      </c>
    </row>
  </sheetData>
  <sheetProtection algorithmName="SHA-512" hashValue="B31KkErdntlHB9g5KPlVpPElT9r1r9rRMhoCVKCYZg9I5fmFAcx3ow/2EbvjxAD89vrTkfHtOQ2IvLjA2hVRxw==" saltValue="YGidHUSwQ2tXKbjmelTSng==" spinCount="100000" sheet="1" objects="1" scenarios="1"/>
  <conditionalFormatting sqref="B3:K37">
    <cfRule type="expression" dxfId="15" priority="6">
      <formula>MOD(ROW(),2)</formula>
    </cfRule>
  </conditionalFormatting>
  <conditionalFormatting sqref="B27:K35 B16:K24 B6:K13">
    <cfRule type="expression" dxfId="14" priority="1">
      <formula>$C6=0</formula>
    </cfRule>
  </conditionalFormatting>
  <pageMargins left="0.7" right="0.7" top="0.75" bottom="0.75" header="0.3" footer="0.3"/>
  <pageSetup scale="73" orientation="landscape" r:id="rId1"/>
  <ignoredErrors>
    <ignoredError sqref="J6:J7 J8:J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754B-2C10-4D21-89E2-AE6050A1149B}">
  <sheetPr>
    <tabColor theme="7" tint="0.79998168889431442"/>
    <pageSetUpPr fitToPage="1"/>
  </sheetPr>
  <dimension ref="B3:J12"/>
  <sheetViews>
    <sheetView showGridLines="0" workbookViewId="0">
      <selection activeCell="D8" sqref="D8"/>
    </sheetView>
  </sheetViews>
  <sheetFormatPr defaultColWidth="8.85546875" defaultRowHeight="20.100000000000001" customHeight="1" x14ac:dyDescent="0.3"/>
  <cols>
    <col min="1" max="1" width="10.7109375" style="4" customWidth="1"/>
    <col min="2" max="2" width="44.140625" style="4" customWidth="1"/>
    <col min="3" max="6" width="15.7109375" style="4" customWidth="1"/>
    <col min="7" max="16384" width="8.85546875" style="4"/>
  </cols>
  <sheetData>
    <row r="3" spans="2:10" ht="36.950000000000003" customHeight="1" thickBot="1" x14ac:dyDescent="0.35">
      <c r="B3" s="66" t="s">
        <v>25</v>
      </c>
      <c r="C3" s="67" t="s">
        <v>122</v>
      </c>
      <c r="D3" s="67" t="s">
        <v>121</v>
      </c>
      <c r="E3" s="67" t="s">
        <v>59</v>
      </c>
      <c r="F3" s="68" t="s">
        <v>50</v>
      </c>
    </row>
    <row r="4" spans="2:10" ht="20.100000000000001" customHeight="1" thickTop="1" x14ac:dyDescent="0.3">
      <c r="B4" s="31"/>
      <c r="C4" s="69"/>
      <c r="D4" s="70"/>
      <c r="E4" s="70"/>
      <c r="F4" s="71"/>
    </row>
    <row r="5" spans="2:10" ht="20.100000000000001" customHeight="1" x14ac:dyDescent="0.3">
      <c r="B5" s="25" t="s">
        <v>2</v>
      </c>
      <c r="C5" s="72"/>
      <c r="D5" s="73"/>
      <c r="E5" s="73"/>
      <c r="F5" s="74"/>
    </row>
    <row r="6" spans="2:10" ht="20.100000000000001" customHeight="1" x14ac:dyDescent="0.3">
      <c r="B6" s="4" t="s">
        <v>31</v>
      </c>
      <c r="C6" s="147">
        <v>2</v>
      </c>
      <c r="D6" s="148">
        <v>150</v>
      </c>
      <c r="E6" s="76">
        <f>D6/C6</f>
        <v>75</v>
      </c>
      <c r="F6" s="77">
        <f>E6/'Total Costs'!$C$4</f>
        <v>1.4423076923076923</v>
      </c>
      <c r="J6" s="6"/>
    </row>
    <row r="7" spans="2:10" ht="20.100000000000001" customHeight="1" x14ac:dyDescent="0.3">
      <c r="B7" s="4" t="s">
        <v>33</v>
      </c>
      <c r="C7" s="147">
        <v>3</v>
      </c>
      <c r="D7" s="148">
        <v>5</v>
      </c>
      <c r="E7" s="76">
        <f>(D7)/C7</f>
        <v>1.6666666666666667</v>
      </c>
      <c r="F7" s="77">
        <f>E7/'Total Costs'!$C$4</f>
        <v>3.2051282051282055E-2</v>
      </c>
    </row>
    <row r="8" spans="2:10" ht="20.100000000000001" customHeight="1" x14ac:dyDescent="0.3">
      <c r="C8" s="147"/>
      <c r="D8" s="148"/>
      <c r="E8" s="76"/>
      <c r="F8" s="77"/>
    </row>
    <row r="9" spans="2:10" ht="20.100000000000001" customHeight="1" x14ac:dyDescent="0.3">
      <c r="B9" s="25" t="s">
        <v>3</v>
      </c>
      <c r="C9" s="147"/>
      <c r="D9" s="148"/>
      <c r="E9" s="76"/>
      <c r="F9" s="77"/>
    </row>
    <row r="10" spans="2:10" ht="20.100000000000001" customHeight="1" x14ac:dyDescent="0.3">
      <c r="B10" s="4" t="s">
        <v>32</v>
      </c>
      <c r="C10" s="149">
        <v>1</v>
      </c>
      <c r="D10" s="148">
        <v>20</v>
      </c>
      <c r="E10" s="76">
        <f>IFERROR((D10/C10),0)</f>
        <v>20</v>
      </c>
      <c r="F10" s="77">
        <f>E10/'Total Costs'!$C$4</f>
        <v>0.38461538461538464</v>
      </c>
    </row>
    <row r="11" spans="2:10" ht="20.100000000000001" customHeight="1" x14ac:dyDescent="0.3">
      <c r="C11" s="75"/>
      <c r="D11" s="78"/>
      <c r="E11" s="79"/>
      <c r="F11" s="77"/>
    </row>
    <row r="12" spans="2:10" ht="20.100000000000001" customHeight="1" x14ac:dyDescent="0.3">
      <c r="B12" s="27" t="s">
        <v>24</v>
      </c>
      <c r="C12" s="80"/>
      <c r="D12" s="81">
        <f>SUM(D6:D10)</f>
        <v>175</v>
      </c>
      <c r="E12" s="82">
        <f t="shared" ref="E12:F12" si="0">SUM(E6:E10)</f>
        <v>96.666666666666671</v>
      </c>
      <c r="F12" s="82">
        <f t="shared" si="0"/>
        <v>1.858974358974359</v>
      </c>
      <c r="G12" s="83"/>
    </row>
  </sheetData>
  <sheetProtection algorithmName="SHA-512" hashValue="CgaQ8AfSY8CQKplwbgfqbs9xDVknvNV7yIvhSzJ9ImZytF6yvOyhrV7M1pANxPm4Ooo/WYJr8ygWupfI3gFUbQ==" saltValue="4QCTZvn0QzHyeHGDVwPCtw==" spinCount="100000" sheet="1" objects="1" scenarios="1"/>
  <conditionalFormatting sqref="B3:F12">
    <cfRule type="expression" dxfId="13" priority="10">
      <formula>MOD(ROW(),2)</formula>
    </cfRule>
  </conditionalFormatting>
  <conditionalFormatting sqref="F12">
    <cfRule type="expression" dxfId="12" priority="3">
      <formula>$D6=0</formula>
    </cfRule>
  </conditionalFormatting>
  <conditionalFormatting sqref="B6:F7 B10:F10">
    <cfRule type="expression" dxfId="11" priority="1">
      <formula>$C6=0</formula>
    </cfRule>
    <cfRule type="expression" dxfId="10" priority="2">
      <formula>$D6=0</formula>
    </cfRule>
  </conditionalFormatting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7246-7DED-41DC-8B63-888973DA5326}">
  <sheetPr>
    <tabColor theme="8" tint="0.79998168889431442"/>
    <pageSetUpPr fitToPage="1"/>
  </sheetPr>
  <dimension ref="B3:F14"/>
  <sheetViews>
    <sheetView showGridLines="0" workbookViewId="0">
      <selection activeCell="C10" sqref="C10"/>
    </sheetView>
  </sheetViews>
  <sheetFormatPr defaultColWidth="8.85546875" defaultRowHeight="20.100000000000001" customHeight="1" x14ac:dyDescent="0.3"/>
  <cols>
    <col min="1" max="1" width="10.7109375" style="4" customWidth="1"/>
    <col min="2" max="2" width="32.85546875" style="4" customWidth="1"/>
    <col min="3" max="3" width="27.85546875" style="4" customWidth="1"/>
    <col min="4" max="6" width="15.85546875" style="4" customWidth="1"/>
    <col min="7" max="16384" width="8.85546875" style="4"/>
  </cols>
  <sheetData>
    <row r="3" spans="2:6" ht="36.950000000000003" customHeight="1" thickBot="1" x14ac:dyDescent="0.35">
      <c r="B3" s="84" t="s">
        <v>54</v>
      </c>
      <c r="C3" s="16" t="s">
        <v>132</v>
      </c>
      <c r="D3" s="16" t="s">
        <v>51</v>
      </c>
      <c r="E3" s="16" t="s">
        <v>59</v>
      </c>
      <c r="F3" s="17" t="s">
        <v>50</v>
      </c>
    </row>
    <row r="4" spans="2:6" ht="20.100000000000001" customHeight="1" thickTop="1" x14ac:dyDescent="0.3">
      <c r="B4" s="31"/>
      <c r="C4" s="85"/>
      <c r="D4" s="85"/>
      <c r="E4" s="85"/>
      <c r="F4" s="86"/>
    </row>
    <row r="5" spans="2:6" ht="20.100000000000001" customHeight="1" x14ac:dyDescent="0.3">
      <c r="B5" s="4" t="s">
        <v>113</v>
      </c>
      <c r="C5" s="132">
        <v>2</v>
      </c>
      <c r="D5" s="150">
        <v>10</v>
      </c>
      <c r="E5" s="87">
        <f>D5*C5/60*'Total Costs'!$C$4</f>
        <v>17.333333333333332</v>
      </c>
      <c r="F5" s="88">
        <f>E5/'Total Costs'!$C$4</f>
        <v>0.33333333333333331</v>
      </c>
    </row>
    <row r="6" spans="2:6" ht="20.100000000000001" customHeight="1" x14ac:dyDescent="0.3">
      <c r="B6" s="4" t="s">
        <v>53</v>
      </c>
      <c r="C6" s="132">
        <v>5</v>
      </c>
      <c r="D6" s="150">
        <v>10</v>
      </c>
      <c r="E6" s="87">
        <f>D6*C6/60*'Total Costs'!$C$4</f>
        <v>43.333333333333336</v>
      </c>
      <c r="F6" s="88">
        <f>E6/'Total Costs'!$C$4</f>
        <v>0.83333333333333337</v>
      </c>
    </row>
    <row r="7" spans="2:6" ht="20.100000000000001" customHeight="1" x14ac:dyDescent="0.3">
      <c r="B7" s="4" t="s">
        <v>117</v>
      </c>
      <c r="C7" s="132">
        <v>20</v>
      </c>
      <c r="D7" s="150">
        <v>10</v>
      </c>
      <c r="E7" s="87">
        <f>D7*C7/60*'Total Costs'!$C$4</f>
        <v>173.33333333333334</v>
      </c>
      <c r="F7" s="88">
        <f>E7/'Total Costs'!$C$4</f>
        <v>3.3333333333333335</v>
      </c>
    </row>
    <row r="8" spans="2:6" ht="20.100000000000001" customHeight="1" x14ac:dyDescent="0.3">
      <c r="B8" s="4" t="s">
        <v>52</v>
      </c>
      <c r="C8" s="132">
        <v>20</v>
      </c>
      <c r="D8" s="150">
        <v>10</v>
      </c>
      <c r="E8" s="87">
        <f>D8*C8/60*'Total Costs'!$C$4</f>
        <v>173.33333333333334</v>
      </c>
      <c r="F8" s="88">
        <f>E8/'Total Costs'!$C$4</f>
        <v>3.3333333333333335</v>
      </c>
    </row>
    <row r="9" spans="2:6" ht="20.100000000000001" customHeight="1" x14ac:dyDescent="0.3">
      <c r="B9" s="4" t="s">
        <v>114</v>
      </c>
      <c r="C9" s="132">
        <v>0</v>
      </c>
      <c r="D9" s="150">
        <v>8</v>
      </c>
      <c r="E9" s="87">
        <f>D9*C9/60*'Total Costs'!$C$4</f>
        <v>0</v>
      </c>
      <c r="F9" s="88">
        <f>E9/'Total Costs'!$C$4</f>
        <v>0</v>
      </c>
    </row>
    <row r="10" spans="2:6" ht="20.100000000000001" customHeight="1" x14ac:dyDescent="0.3">
      <c r="B10" s="4" t="s">
        <v>116</v>
      </c>
      <c r="C10" s="132">
        <v>1</v>
      </c>
      <c r="D10" s="150">
        <v>8</v>
      </c>
      <c r="E10" s="87">
        <f>D10*C10/60*'Total Costs'!$C$4</f>
        <v>6.9333333333333336</v>
      </c>
      <c r="F10" s="88">
        <f>E10/'Total Costs'!$C$4</f>
        <v>0.13333333333333333</v>
      </c>
    </row>
    <row r="11" spans="2:6" ht="20.100000000000001" customHeight="1" x14ac:dyDescent="0.3">
      <c r="C11" s="89"/>
      <c r="D11" s="89"/>
      <c r="E11" s="90"/>
      <c r="F11" s="91"/>
    </row>
    <row r="12" spans="2:6" s="31" customFormat="1" ht="20.100000000000001" customHeight="1" x14ac:dyDescent="0.3">
      <c r="B12" s="27" t="s">
        <v>24</v>
      </c>
      <c r="C12" s="27"/>
      <c r="D12" s="27"/>
      <c r="E12" s="92">
        <f>SUM(E5:E10)</f>
        <v>414.26666666666671</v>
      </c>
      <c r="F12" s="92">
        <f>SUM(F5:F10)</f>
        <v>7.9666666666666677</v>
      </c>
    </row>
    <row r="13" spans="2:6" ht="20.100000000000001" customHeight="1" x14ac:dyDescent="0.3">
      <c r="C13" s="36"/>
    </row>
    <row r="14" spans="2:6" ht="20.100000000000001" customHeight="1" x14ac:dyDescent="0.3">
      <c r="C14" s="36"/>
    </row>
  </sheetData>
  <sheetProtection algorithmName="SHA-512" hashValue="HybETDRAPmxT6CFqG7X2kKQAzQuSlRbnlW+zCTo9aPLTeCWN0ynqWdmm3tt9z3QryAKgfs9xEr1aoKDSegMquw==" saltValue="0jGY2/a6ESVTuoC08C9cfA==" spinCount="100000" sheet="1" objects="1" scenarios="1"/>
  <conditionalFormatting sqref="B3:F12">
    <cfRule type="expression" dxfId="9" priority="1">
      <formula>MOD(ROW(),2)</formula>
    </cfRule>
  </conditionalFormatting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6911-06E5-458C-B0D0-5222DF2FB19B}">
  <sheetPr>
    <tabColor rgb="FFC2D0FF"/>
    <pageSetUpPr fitToPage="1"/>
  </sheetPr>
  <dimension ref="A2:L13"/>
  <sheetViews>
    <sheetView showGridLines="0" workbookViewId="0">
      <selection activeCell="C5" sqref="C5:F7"/>
    </sheetView>
  </sheetViews>
  <sheetFormatPr defaultColWidth="8.85546875" defaultRowHeight="20.100000000000001" customHeight="1" x14ac:dyDescent="0.3"/>
  <cols>
    <col min="1" max="1" width="10.7109375" style="3" customWidth="1"/>
    <col min="2" max="2" width="32.85546875" style="3" customWidth="1"/>
    <col min="3" max="4" width="25.85546875" style="3" customWidth="1"/>
    <col min="5" max="5" width="18.140625" style="3" customWidth="1"/>
    <col min="6" max="8" width="15.85546875" style="3" customWidth="1"/>
    <col min="9" max="16384" width="8.85546875" style="3"/>
  </cols>
  <sheetData>
    <row r="2" spans="1:12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6.950000000000003" customHeight="1" thickBot="1" x14ac:dyDescent="0.35">
      <c r="A3" s="4"/>
      <c r="B3" s="13" t="s">
        <v>19</v>
      </c>
      <c r="C3" s="93" t="s">
        <v>129</v>
      </c>
      <c r="D3" s="93" t="s">
        <v>58</v>
      </c>
      <c r="E3" s="93" t="s">
        <v>130</v>
      </c>
      <c r="F3" s="93" t="s">
        <v>60</v>
      </c>
      <c r="G3" s="93" t="s">
        <v>59</v>
      </c>
      <c r="H3" s="94" t="s">
        <v>50</v>
      </c>
      <c r="I3" s="4"/>
      <c r="J3" s="4"/>
      <c r="K3" s="4"/>
      <c r="L3" s="4"/>
    </row>
    <row r="4" spans="1:12" ht="20.100000000000001" customHeight="1" thickTop="1" x14ac:dyDescent="0.3">
      <c r="A4" s="4"/>
      <c r="B4" s="4"/>
      <c r="C4" s="95"/>
      <c r="D4" s="95"/>
      <c r="E4" s="95"/>
      <c r="F4" s="95"/>
      <c r="G4" s="95"/>
      <c r="H4" s="96"/>
      <c r="I4" s="4"/>
      <c r="J4" s="4"/>
      <c r="K4" s="4"/>
      <c r="L4" s="4"/>
    </row>
    <row r="5" spans="1:12" ht="20.100000000000001" customHeight="1" x14ac:dyDescent="0.3">
      <c r="A5" s="4"/>
      <c r="B5" s="4" t="s">
        <v>11</v>
      </c>
      <c r="C5" s="132">
        <v>1</v>
      </c>
      <c r="D5" s="132">
        <v>100</v>
      </c>
      <c r="E5" s="132">
        <v>1</v>
      </c>
      <c r="F5" s="151">
        <v>0.1</v>
      </c>
      <c r="G5" s="97">
        <f>(E5*D5*F5*C5/1000)*'Total Costs'!$C$4</f>
        <v>0.52</v>
      </c>
      <c r="H5" s="98">
        <f>G5/'Total Costs'!$C$4</f>
        <v>0.01</v>
      </c>
      <c r="I5" s="4"/>
      <c r="J5" s="4"/>
      <c r="K5" s="4"/>
      <c r="L5" s="4"/>
    </row>
    <row r="6" spans="1:12" ht="20.100000000000001" customHeight="1" x14ac:dyDescent="0.3">
      <c r="A6" s="4"/>
      <c r="B6" s="127" t="s">
        <v>12</v>
      </c>
      <c r="C6" s="132">
        <v>1</v>
      </c>
      <c r="D6" s="132">
        <v>100</v>
      </c>
      <c r="E6" s="132">
        <v>1</v>
      </c>
      <c r="F6" s="151">
        <v>0.1</v>
      </c>
      <c r="G6" s="97">
        <f>(E6*D6*F6*C6/1000)*'Total Costs'!$C$4</f>
        <v>0.52</v>
      </c>
      <c r="H6" s="98">
        <f>G6/'Total Costs'!$C$4</f>
        <v>0.01</v>
      </c>
      <c r="I6" s="4"/>
      <c r="J6" s="4"/>
      <c r="K6" s="4"/>
      <c r="L6" s="4"/>
    </row>
    <row r="7" spans="1:12" ht="20.100000000000001" customHeight="1" x14ac:dyDescent="0.3">
      <c r="A7" s="4"/>
      <c r="B7" s="127" t="s">
        <v>8</v>
      </c>
      <c r="C7" s="132">
        <v>0</v>
      </c>
      <c r="D7" s="132">
        <v>100</v>
      </c>
      <c r="E7" s="132">
        <v>1</v>
      </c>
      <c r="F7" s="151">
        <v>0.1</v>
      </c>
      <c r="G7" s="97">
        <f>(E7*D7*F7*C7/1000)*'Total Costs'!$C$4</f>
        <v>0</v>
      </c>
      <c r="H7" s="98">
        <f>G7/'Total Costs'!$C$4</f>
        <v>0</v>
      </c>
      <c r="I7" s="4"/>
      <c r="J7" s="4"/>
      <c r="K7" s="4"/>
      <c r="L7" s="4"/>
    </row>
    <row r="8" spans="1:12" s="101" customFormat="1" ht="20.100000000000001" customHeight="1" x14ac:dyDescent="0.3">
      <c r="A8" s="31"/>
      <c r="B8" s="4"/>
      <c r="C8" s="99"/>
      <c r="D8" s="99"/>
      <c r="E8" s="99"/>
      <c r="F8" s="99"/>
      <c r="G8" s="99"/>
      <c r="H8" s="100"/>
      <c r="I8" s="31"/>
      <c r="J8" s="31"/>
      <c r="K8" s="31"/>
      <c r="L8" s="31"/>
    </row>
    <row r="9" spans="1:12" ht="20.100000000000001" customHeight="1" x14ac:dyDescent="0.3">
      <c r="A9" s="4"/>
      <c r="B9" s="27" t="s">
        <v>24</v>
      </c>
      <c r="C9" s="27"/>
      <c r="D9" s="27"/>
      <c r="E9" s="27"/>
      <c r="F9" s="27"/>
      <c r="G9" s="102">
        <f>SUM(G5:G7)</f>
        <v>1.04</v>
      </c>
      <c r="H9" s="30">
        <f>SUM(H5:H7)</f>
        <v>0.02</v>
      </c>
      <c r="I9" s="4"/>
      <c r="J9" s="4"/>
      <c r="K9" s="4"/>
      <c r="L9" s="4"/>
    </row>
    <row r="10" spans="1:12" ht="20.100000000000001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0.100000000000001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0.100000000000001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0.100000000000001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sheetProtection algorithmName="SHA-512" hashValue="2f0XjXl+gg7X41zkEKDwgUZZf00buay9lI7Ro9ISFBnylqevwJF9dv2Kg1O6hZnR3TgOisxolDUmYqa75E3Zug==" saltValue="kq/JnTYHGf1Fx5mwvpi4OA==" spinCount="100000" sheet="1" objects="1" scenarios="1"/>
  <conditionalFormatting sqref="B3:H9">
    <cfRule type="expression" dxfId="8" priority="1">
      <formula>MOD(ROW(),2)</formula>
    </cfRule>
  </conditionalFormatting>
  <pageMargins left="0.7" right="0.7" top="0.75" bottom="0.75" header="0.3" footer="0.3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A6C21-68C4-48B7-A508-C48E2A528F2F}">
  <sheetPr>
    <tabColor rgb="FFE2D8FF"/>
    <pageSetUpPr fitToPage="1"/>
  </sheetPr>
  <dimension ref="B3:F8"/>
  <sheetViews>
    <sheetView showGridLines="0" workbookViewId="0">
      <selection activeCell="C7" sqref="C7"/>
    </sheetView>
  </sheetViews>
  <sheetFormatPr defaultColWidth="8.85546875" defaultRowHeight="20.100000000000001" customHeight="1" x14ac:dyDescent="0.3"/>
  <cols>
    <col min="1" max="1" width="10.7109375" style="3" customWidth="1"/>
    <col min="2" max="2" width="32.85546875" style="3" customWidth="1"/>
    <col min="3" max="6" width="15.85546875" style="3" customWidth="1"/>
    <col min="7" max="16384" width="8.85546875" style="3"/>
  </cols>
  <sheetData>
    <row r="3" spans="2:6" s="39" customFormat="1" ht="36.950000000000003" customHeight="1" thickBot="1" x14ac:dyDescent="0.3">
      <c r="B3" s="13" t="s">
        <v>0</v>
      </c>
      <c r="C3" s="93" t="s">
        <v>122</v>
      </c>
      <c r="D3" s="93" t="s">
        <v>124</v>
      </c>
      <c r="E3" s="93" t="s">
        <v>59</v>
      </c>
      <c r="F3" s="94" t="s">
        <v>50</v>
      </c>
    </row>
    <row r="4" spans="2:6" ht="20.100000000000001" customHeight="1" thickTop="1" x14ac:dyDescent="0.3">
      <c r="C4" s="95"/>
      <c r="D4" s="95"/>
      <c r="E4" s="95"/>
      <c r="F4" s="96"/>
    </row>
    <row r="5" spans="2:6" ht="20.100000000000001" customHeight="1" x14ac:dyDescent="0.3">
      <c r="B5" s="3" t="s">
        <v>57</v>
      </c>
      <c r="C5" s="132">
        <v>0</v>
      </c>
      <c r="D5" s="152">
        <v>0</v>
      </c>
      <c r="E5" s="23">
        <f>IFERROR(D5/C5,0)</f>
        <v>0</v>
      </c>
      <c r="F5" s="24">
        <f>E5/'Total Costs'!$C$4</f>
        <v>0</v>
      </c>
    </row>
    <row r="6" spans="2:6" ht="20.100000000000001" customHeight="1" x14ac:dyDescent="0.3">
      <c r="B6" s="3" t="s">
        <v>1</v>
      </c>
      <c r="C6" s="132">
        <v>1</v>
      </c>
      <c r="D6" s="152">
        <v>1000</v>
      </c>
      <c r="E6" s="23">
        <f>IFERROR(D6/C6,0)</f>
        <v>1000</v>
      </c>
      <c r="F6" s="24">
        <f>E6/'Total Costs'!$C$4</f>
        <v>19.23076923076923</v>
      </c>
    </row>
    <row r="7" spans="2:6" ht="20.100000000000001" customHeight="1" x14ac:dyDescent="0.3">
      <c r="C7" s="99"/>
      <c r="D7" s="99"/>
      <c r="E7" s="97"/>
      <c r="F7" s="103"/>
    </row>
    <row r="8" spans="2:6" s="101" customFormat="1" ht="20.100000000000001" customHeight="1" x14ac:dyDescent="0.3">
      <c r="B8" s="27" t="s">
        <v>24</v>
      </c>
      <c r="C8" s="104"/>
      <c r="D8" s="105">
        <f t="shared" ref="D8:E8" si="0">SUM(D5:D6)</f>
        <v>1000</v>
      </c>
      <c r="E8" s="106">
        <f t="shared" si="0"/>
        <v>1000</v>
      </c>
      <c r="F8" s="107">
        <f>SUM(F5:F6)</f>
        <v>19.23076923076923</v>
      </c>
    </row>
  </sheetData>
  <sheetProtection algorithmName="SHA-512" hashValue="inEwhE+HpJRT6/R0ncJnmFegpQICA55dtgxd3p1qwrHVFvGeUJNSDqhPixMWrV0WhMmWisaDsHdN55aZhboEAg==" saltValue="QmJ/AfsPb1DyfWRdBpUGcQ==" spinCount="100000" sheet="1" objects="1" scenarios="1"/>
  <conditionalFormatting sqref="B3:F8">
    <cfRule type="expression" dxfId="7" priority="1">
      <formula>MOD(ROW(),2)</formula>
    </cfRule>
  </conditionalFormatting>
  <pageMargins left="0.7" right="0.7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7E301-2DE0-41AC-98D8-9743E4F16A8F}">
  <sheetPr>
    <tabColor rgb="FFFFDDFD"/>
    <pageSetUpPr fitToPage="1"/>
  </sheetPr>
  <dimension ref="B3:L43"/>
  <sheetViews>
    <sheetView showGridLines="0" zoomScaleNormal="100" workbookViewId="0">
      <selection activeCell="H30" sqref="H30"/>
    </sheetView>
  </sheetViews>
  <sheetFormatPr defaultColWidth="8.85546875" defaultRowHeight="20.100000000000001" customHeight="1" x14ac:dyDescent="0.3"/>
  <cols>
    <col min="1" max="1" width="10.7109375" style="3" customWidth="1"/>
    <col min="2" max="2" width="32.85546875" style="3" customWidth="1"/>
    <col min="3" max="7" width="15.85546875" style="3" customWidth="1"/>
    <col min="8" max="8" width="32.85546875" style="3" customWidth="1"/>
    <col min="9" max="10" width="15.85546875" style="3" customWidth="1"/>
    <col min="11" max="16384" width="8.85546875" style="3"/>
  </cols>
  <sheetData>
    <row r="3" spans="2:10" s="39" customFormat="1" ht="36.950000000000003" customHeight="1" thickBot="1" x14ac:dyDescent="0.3">
      <c r="B3" s="13" t="s">
        <v>85</v>
      </c>
      <c r="C3" s="93" t="s">
        <v>122</v>
      </c>
      <c r="D3" s="93" t="s">
        <v>125</v>
      </c>
      <c r="E3" s="93" t="s">
        <v>59</v>
      </c>
      <c r="F3" s="94" t="s">
        <v>50</v>
      </c>
      <c r="H3" s="13" t="s">
        <v>61</v>
      </c>
      <c r="I3" s="108"/>
    </row>
    <row r="4" spans="2:10" ht="20.100000000000001" customHeight="1" thickTop="1" x14ac:dyDescent="0.3">
      <c r="C4" s="99"/>
      <c r="D4" s="99"/>
      <c r="E4" s="99"/>
      <c r="F4" s="100"/>
      <c r="H4" s="3" t="s">
        <v>74</v>
      </c>
      <c r="I4" s="139">
        <v>12</v>
      </c>
    </row>
    <row r="5" spans="2:10" ht="20.100000000000001" customHeight="1" x14ac:dyDescent="0.3">
      <c r="B5" s="53" t="s">
        <v>56</v>
      </c>
      <c r="C5" s="132">
        <v>1</v>
      </c>
      <c r="D5" s="133">
        <v>250</v>
      </c>
      <c r="E5" s="87">
        <f>D5/C5</f>
        <v>250</v>
      </c>
      <c r="F5" s="109">
        <f>E5/'Total Costs'!$C$4</f>
        <v>4.8076923076923075</v>
      </c>
      <c r="H5" s="3" t="s">
        <v>75</v>
      </c>
      <c r="I5" s="139">
        <v>6</v>
      </c>
    </row>
    <row r="6" spans="2:10" ht="20.100000000000001" customHeight="1" x14ac:dyDescent="0.3">
      <c r="B6" s="126" t="s">
        <v>79</v>
      </c>
      <c r="C6" s="135"/>
      <c r="D6" s="136"/>
      <c r="E6" s="87"/>
      <c r="F6" s="109"/>
    </row>
    <row r="7" spans="2:10" ht="20.100000000000001" customHeight="1" x14ac:dyDescent="0.3">
      <c r="B7" s="126" t="s">
        <v>80</v>
      </c>
      <c r="C7" s="135"/>
      <c r="D7" s="136"/>
      <c r="E7" s="87"/>
      <c r="F7" s="109"/>
      <c r="H7" s="3" t="s">
        <v>95</v>
      </c>
    </row>
    <row r="8" spans="2:10" ht="20.100000000000001" customHeight="1" x14ac:dyDescent="0.3">
      <c r="B8" s="126"/>
      <c r="C8" s="135"/>
      <c r="D8" s="136"/>
      <c r="E8" s="87"/>
      <c r="F8" s="109"/>
    </row>
    <row r="9" spans="2:10" ht="20.100000000000001" customHeight="1" x14ac:dyDescent="0.3">
      <c r="B9" s="53" t="s">
        <v>83</v>
      </c>
      <c r="C9" s="132">
        <v>1</v>
      </c>
      <c r="D9" s="133">
        <v>250</v>
      </c>
      <c r="E9" s="87">
        <f>D9/C9</f>
        <v>250</v>
      </c>
      <c r="F9" s="109">
        <f>E9/'Total Costs'!$C$4</f>
        <v>4.8076923076923075</v>
      </c>
    </row>
    <row r="10" spans="2:10" ht="20.100000000000001" customHeight="1" x14ac:dyDescent="0.3">
      <c r="B10" s="126" t="s">
        <v>81</v>
      </c>
      <c r="C10" s="135"/>
      <c r="D10" s="136"/>
      <c r="E10" s="87"/>
      <c r="F10" s="109"/>
    </row>
    <row r="11" spans="2:10" ht="20.100000000000001" customHeight="1" x14ac:dyDescent="0.3">
      <c r="B11" s="126" t="s">
        <v>82</v>
      </c>
      <c r="C11" s="135"/>
      <c r="D11" s="136"/>
      <c r="E11" s="87"/>
      <c r="F11" s="109"/>
      <c r="H11" s="123" t="s">
        <v>96</v>
      </c>
      <c r="I11" s="121" t="s">
        <v>91</v>
      </c>
      <c r="J11" s="110" t="s">
        <v>97</v>
      </c>
    </row>
    <row r="12" spans="2:10" ht="20.100000000000001" customHeight="1" thickBot="1" x14ac:dyDescent="0.35">
      <c r="B12" s="126"/>
      <c r="C12" s="135"/>
      <c r="D12" s="136"/>
      <c r="E12" s="87"/>
      <c r="F12" s="109"/>
      <c r="H12" s="124"/>
      <c r="I12" s="122"/>
      <c r="J12" s="137" t="s">
        <v>134</v>
      </c>
    </row>
    <row r="13" spans="2:10" ht="20.100000000000001" customHeight="1" thickTop="1" x14ac:dyDescent="0.3">
      <c r="B13" s="53" t="s">
        <v>84</v>
      </c>
      <c r="C13" s="132">
        <v>1</v>
      </c>
      <c r="D13" s="133">
        <v>100</v>
      </c>
      <c r="E13" s="87">
        <f t="shared" ref="E13" si="0">D13/C13</f>
        <v>100</v>
      </c>
      <c r="F13" s="109">
        <f>E13/'Total Costs'!$C$4</f>
        <v>1.9230769230769231</v>
      </c>
      <c r="I13" s="99"/>
      <c r="J13" s="100"/>
    </row>
    <row r="14" spans="2:10" ht="20.100000000000001" customHeight="1" x14ac:dyDescent="0.3">
      <c r="B14" s="126" t="s">
        <v>87</v>
      </c>
      <c r="C14" s="135"/>
      <c r="D14" s="136"/>
      <c r="E14" s="87"/>
      <c r="F14" s="109"/>
      <c r="H14" s="3" t="s">
        <v>78</v>
      </c>
      <c r="I14" s="138">
        <v>15</v>
      </c>
      <c r="J14" s="154">
        <f>IF($J$12="Cost Per Hour", $I$14,IF($J$12="Cost Per Month",$I$14*$I$4,$I$14*$I$4*$I$5))</f>
        <v>1080</v>
      </c>
    </row>
    <row r="15" spans="2:10" ht="20.100000000000001" customHeight="1" x14ac:dyDescent="0.3">
      <c r="B15" s="126" t="s">
        <v>88</v>
      </c>
      <c r="C15" s="135"/>
      <c r="D15" s="136"/>
      <c r="E15" s="87"/>
      <c r="F15" s="109"/>
      <c r="H15" s="3" t="s">
        <v>77</v>
      </c>
      <c r="I15" s="138">
        <v>65</v>
      </c>
      <c r="J15" s="154">
        <f>IF(J12="Cost Per Hour",$I$15/$I$4,IF(J12="Cost Per Month",$I$15,$I$15*$I$5))</f>
        <v>390</v>
      </c>
    </row>
    <row r="16" spans="2:10" ht="20.100000000000001" customHeight="1" x14ac:dyDescent="0.3">
      <c r="B16" s="126" t="s">
        <v>89</v>
      </c>
      <c r="C16" s="135"/>
      <c r="D16" s="136"/>
      <c r="E16" s="87"/>
      <c r="F16" s="109"/>
      <c r="H16" s="3" t="s">
        <v>76</v>
      </c>
      <c r="I16" s="138">
        <f>$E$19</f>
        <v>600</v>
      </c>
      <c r="J16" s="154">
        <f>IF(J12="Cost Per Hour",$I$16/$I$5/$I$4,IF(J12="Cost Per Month",$I$16/$I$5,$I$16))</f>
        <v>600</v>
      </c>
    </row>
    <row r="17" spans="2:12" ht="20.100000000000001" customHeight="1" x14ac:dyDescent="0.3">
      <c r="B17" s="126" t="s">
        <v>86</v>
      </c>
      <c r="C17" s="128"/>
      <c r="D17" s="129"/>
      <c r="E17" s="87"/>
      <c r="F17" s="109"/>
    </row>
    <row r="18" spans="2:12" ht="20.100000000000001" customHeight="1" x14ac:dyDescent="0.3">
      <c r="B18" s="126"/>
      <c r="C18" s="128"/>
      <c r="D18" s="129"/>
      <c r="E18" s="87"/>
      <c r="F18" s="109"/>
    </row>
    <row r="19" spans="2:12" ht="20.100000000000001" customHeight="1" x14ac:dyDescent="0.3">
      <c r="B19" s="27" t="s">
        <v>24</v>
      </c>
      <c r="C19" s="27"/>
      <c r="D19" s="111">
        <f>SUM(D5:D17)</f>
        <v>600</v>
      </c>
      <c r="E19" s="112">
        <f t="shared" ref="E19:F19" si="1">SUM(E5:E17)</f>
        <v>600</v>
      </c>
      <c r="F19" s="112">
        <f t="shared" si="1"/>
        <v>11.538461538461538</v>
      </c>
    </row>
    <row r="21" spans="2:12" ht="20.100000000000001" customHeight="1" x14ac:dyDescent="0.3">
      <c r="B21" s="3" t="s">
        <v>90</v>
      </c>
    </row>
    <row r="27" spans="2:12" ht="20.100000000000001" customHeight="1" x14ac:dyDescent="0.3">
      <c r="D27" s="113"/>
    </row>
    <row r="32" spans="2:12" ht="20.100000000000001" customHeight="1" x14ac:dyDescent="0.3">
      <c r="L32" s="114"/>
    </row>
    <row r="33" spans="12:12" ht="20.100000000000001" customHeight="1" x14ac:dyDescent="0.3">
      <c r="L33" s="114"/>
    </row>
    <row r="34" spans="12:12" ht="20.100000000000001" customHeight="1" x14ac:dyDescent="0.3">
      <c r="L34" s="114"/>
    </row>
    <row r="35" spans="12:12" ht="20.100000000000001" customHeight="1" x14ac:dyDescent="0.3">
      <c r="L35" s="114"/>
    </row>
    <row r="36" spans="12:12" ht="20.100000000000001" customHeight="1" x14ac:dyDescent="0.3">
      <c r="L36" s="114"/>
    </row>
    <row r="37" spans="12:12" ht="20.100000000000001" customHeight="1" x14ac:dyDescent="0.3">
      <c r="L37" s="114"/>
    </row>
    <row r="40" spans="12:12" ht="20.100000000000001" customHeight="1" x14ac:dyDescent="0.3">
      <c r="L40" s="115"/>
    </row>
    <row r="41" spans="12:12" ht="20.100000000000001" customHeight="1" x14ac:dyDescent="0.3">
      <c r="L41" s="115"/>
    </row>
    <row r="42" spans="12:12" ht="20.100000000000001" customHeight="1" x14ac:dyDescent="0.3">
      <c r="L42" s="115"/>
    </row>
    <row r="43" spans="12:12" ht="20.100000000000001" customHeight="1" x14ac:dyDescent="0.3">
      <c r="L43" s="115"/>
    </row>
  </sheetData>
  <sheetProtection algorithmName="SHA-512" hashValue="UPyW6n+9f8/w4fOJCl14aAvFIxhqdchxHzEHdrc/zz4oi5Auk1MIbCzn4x/K9K8doxbWoLjF9b8N5hsMOk/B5g==" saltValue="DUIvztqLImaDZuljCZU/Vw==" spinCount="100000" sheet="1" objects="1" scenarios="1"/>
  <mergeCells count="2">
    <mergeCell ref="I11:I12"/>
    <mergeCell ref="H11:H12"/>
  </mergeCells>
  <conditionalFormatting sqref="H16:J16">
    <cfRule type="expression" dxfId="6" priority="2">
      <formula>$J$16&lt;SMALL($J$14:$J$16,2)</formula>
    </cfRule>
    <cfRule type="expression" dxfId="5" priority="11">
      <formula>MOD(ROW(),2)</formula>
    </cfRule>
  </conditionalFormatting>
  <conditionalFormatting sqref="H14:J14">
    <cfRule type="expression" dxfId="4" priority="18">
      <formula>$J14&lt;SMALL($J14:$J16,2)</formula>
    </cfRule>
  </conditionalFormatting>
  <conditionalFormatting sqref="H15:J15">
    <cfRule type="expression" dxfId="3" priority="3">
      <formula>$J$15&lt;SMALL($J$14:$J$16,2)</formula>
    </cfRule>
  </conditionalFormatting>
  <conditionalFormatting sqref="B3:F19 H3:I5 I12:J12 H11:J11">
    <cfRule type="expression" dxfId="2" priority="1">
      <formula>MOD(ROW(),2)</formula>
    </cfRule>
  </conditionalFormatting>
  <dataValidations count="1">
    <dataValidation type="list" allowBlank="1" showInputMessage="1" showErrorMessage="1" sqref="J12" xr:uid="{9BDABE1A-5578-9D48-B7AD-2EA3025B3929}">
      <formula1>"Cost Per Hour, Cost Per Month, Cost Per Year"</formula1>
    </dataValidation>
  </dataValidations>
  <pageMargins left="0.7" right="0.7" top="0.75" bottom="0.75" header="0.3" footer="0.3"/>
  <pageSetup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4856-E2D1-4E6C-8B4A-92A6AD1905A4}">
  <sheetPr>
    <tabColor rgb="FFFFECEB"/>
    <pageSetUpPr fitToPage="1"/>
  </sheetPr>
  <dimension ref="B3:G25"/>
  <sheetViews>
    <sheetView showGridLines="0" workbookViewId="0">
      <selection activeCell="B28" sqref="B28"/>
    </sheetView>
  </sheetViews>
  <sheetFormatPr defaultColWidth="8.85546875" defaultRowHeight="20.100000000000001" customHeight="1" x14ac:dyDescent="0.3"/>
  <cols>
    <col min="1" max="1" width="10.7109375" style="3" customWidth="1"/>
    <col min="2" max="2" width="32.85546875" style="3" customWidth="1"/>
    <col min="3" max="4" width="15.85546875" style="3" customWidth="1"/>
    <col min="5" max="5" width="17.42578125" style="3" customWidth="1"/>
    <col min="6" max="7" width="15.85546875" style="3" customWidth="1"/>
    <col min="8" max="16384" width="8.85546875" style="3"/>
  </cols>
  <sheetData>
    <row r="3" spans="2:7" s="116" customFormat="1" ht="57" thickBot="1" x14ac:dyDescent="0.35">
      <c r="B3" s="15" t="s">
        <v>19</v>
      </c>
      <c r="C3" s="16" t="s">
        <v>45</v>
      </c>
      <c r="D3" s="16" t="s">
        <v>126</v>
      </c>
      <c r="E3" s="16" t="s">
        <v>127</v>
      </c>
      <c r="F3" s="16" t="s">
        <v>59</v>
      </c>
      <c r="G3" s="17" t="s">
        <v>50</v>
      </c>
    </row>
    <row r="4" spans="2:7" ht="20.100000000000001" customHeight="1" thickTop="1" x14ac:dyDescent="0.3">
      <c r="B4" s="31"/>
      <c r="C4" s="117"/>
      <c r="D4" s="117"/>
      <c r="E4" s="117"/>
      <c r="F4" s="117"/>
      <c r="G4" s="118"/>
    </row>
    <row r="5" spans="2:7" ht="20.100000000000001" customHeight="1" x14ac:dyDescent="0.3">
      <c r="B5" s="25" t="s">
        <v>99</v>
      </c>
      <c r="C5" s="117"/>
      <c r="D5" s="117"/>
      <c r="E5" s="117"/>
      <c r="F5" s="117"/>
      <c r="G5" s="118"/>
    </row>
    <row r="6" spans="2:7" ht="20.100000000000001" customHeight="1" x14ac:dyDescent="0.3">
      <c r="B6" s="3" t="s">
        <v>98</v>
      </c>
      <c r="C6" s="153">
        <f>'Equipment Ownership'!C6</f>
        <v>1</v>
      </c>
      <c r="D6" s="133">
        <f>'Equipment Ownership'!D6</f>
        <v>1600</v>
      </c>
      <c r="E6" s="134">
        <v>2.5000000000000001E-2</v>
      </c>
      <c r="F6" s="87">
        <f>D6*E6*C6</f>
        <v>40</v>
      </c>
      <c r="G6" s="26">
        <f>F6/'Total Costs'!$C$4</f>
        <v>0.76923076923076927</v>
      </c>
    </row>
    <row r="7" spans="2:7" ht="20.100000000000001" customHeight="1" x14ac:dyDescent="0.3">
      <c r="B7" s="126" t="s">
        <v>105</v>
      </c>
      <c r="C7" s="132">
        <v>0</v>
      </c>
      <c r="D7" s="133">
        <v>400</v>
      </c>
      <c r="E7" s="134">
        <v>2.5000000000000001E-2</v>
      </c>
      <c r="F7" s="87">
        <f t="shared" ref="F7:F11" si="0">D7*E7*C7</f>
        <v>0</v>
      </c>
      <c r="G7" s="26">
        <f>F7/'Total Costs'!$C$4</f>
        <v>0</v>
      </c>
    </row>
    <row r="8" spans="2:7" ht="20.100000000000001" customHeight="1" x14ac:dyDescent="0.3">
      <c r="B8" s="126" t="s">
        <v>106</v>
      </c>
      <c r="C8" s="132">
        <v>0</v>
      </c>
      <c r="D8" s="133">
        <v>400</v>
      </c>
      <c r="E8" s="134">
        <v>2.5000000000000001E-2</v>
      </c>
      <c r="F8" s="87">
        <f t="shared" si="0"/>
        <v>0</v>
      </c>
      <c r="G8" s="26">
        <f>F8/'Total Costs'!$C$4</f>
        <v>0</v>
      </c>
    </row>
    <row r="9" spans="2:7" ht="20.100000000000001" customHeight="1" x14ac:dyDescent="0.3">
      <c r="B9" s="126" t="s">
        <v>103</v>
      </c>
      <c r="C9" s="132">
        <v>0</v>
      </c>
      <c r="D9" s="133">
        <v>500</v>
      </c>
      <c r="E9" s="134">
        <v>2.5000000000000001E-2</v>
      </c>
      <c r="F9" s="87">
        <f t="shared" si="0"/>
        <v>0</v>
      </c>
      <c r="G9" s="26">
        <f>F9/'Total Costs'!$C$4</f>
        <v>0</v>
      </c>
    </row>
    <row r="10" spans="2:7" ht="20.100000000000001" customHeight="1" x14ac:dyDescent="0.3">
      <c r="B10" s="126" t="s">
        <v>104</v>
      </c>
      <c r="C10" s="132">
        <v>0</v>
      </c>
      <c r="D10" s="133">
        <v>200</v>
      </c>
      <c r="E10" s="134">
        <v>2.5000000000000001E-2</v>
      </c>
      <c r="F10" s="87">
        <f t="shared" si="0"/>
        <v>0</v>
      </c>
      <c r="G10" s="26">
        <f>F10/'Total Costs'!$C$4</f>
        <v>0</v>
      </c>
    </row>
    <row r="11" spans="2:7" ht="20.100000000000001" customHeight="1" x14ac:dyDescent="0.3">
      <c r="B11" s="126"/>
      <c r="C11" s="132">
        <v>0</v>
      </c>
      <c r="D11" s="133">
        <v>0</v>
      </c>
      <c r="E11" s="134">
        <v>2.5000000000000001E-2</v>
      </c>
      <c r="F11" s="87">
        <f t="shared" si="0"/>
        <v>0</v>
      </c>
      <c r="G11" s="26">
        <f>F11/'Total Costs'!$C$4</f>
        <v>0</v>
      </c>
    </row>
    <row r="12" spans="2:7" ht="20.100000000000001" customHeight="1" x14ac:dyDescent="0.3">
      <c r="B12" s="53" t="s">
        <v>100</v>
      </c>
      <c r="C12" s="135"/>
      <c r="D12" s="136"/>
      <c r="E12" s="134"/>
      <c r="F12" s="87"/>
      <c r="G12" s="26"/>
    </row>
    <row r="13" spans="2:7" ht="20.100000000000001" customHeight="1" x14ac:dyDescent="0.3">
      <c r="B13" s="3" t="s">
        <v>73</v>
      </c>
      <c r="C13" s="153">
        <f>'Equipment Ownership'!C6</f>
        <v>1</v>
      </c>
      <c r="D13" s="133">
        <f>'Equipment Ownership'!D6</f>
        <v>1600</v>
      </c>
      <c r="E13" s="134">
        <f>E6</f>
        <v>2.5000000000000001E-2</v>
      </c>
      <c r="F13" s="87">
        <f>D13*E13*C13</f>
        <v>40</v>
      </c>
      <c r="G13" s="26">
        <f>F13/'Total Costs'!$C$4</f>
        <v>0.76923076923076927</v>
      </c>
    </row>
    <row r="14" spans="2:7" ht="20.100000000000001" customHeight="1" x14ac:dyDescent="0.3">
      <c r="B14" s="130" t="s">
        <v>105</v>
      </c>
      <c r="C14" s="132">
        <v>0</v>
      </c>
      <c r="D14" s="133">
        <v>400</v>
      </c>
      <c r="E14" s="134">
        <f>E7</f>
        <v>2.5000000000000001E-2</v>
      </c>
      <c r="F14" s="87">
        <f t="shared" ref="F14:F18" si="1">D14*E14*C14</f>
        <v>0</v>
      </c>
      <c r="G14" s="26">
        <f>F14/'Total Costs'!$C$4</f>
        <v>0</v>
      </c>
    </row>
    <row r="15" spans="2:7" ht="20.100000000000001" customHeight="1" x14ac:dyDescent="0.3">
      <c r="B15" s="131" t="s">
        <v>106</v>
      </c>
      <c r="C15" s="132">
        <f t="shared" ref="C15:C18" si="2">C8</f>
        <v>0</v>
      </c>
      <c r="D15" s="133">
        <v>400</v>
      </c>
      <c r="E15" s="134">
        <f t="shared" ref="E15:E18" si="3">E8</f>
        <v>2.5000000000000001E-2</v>
      </c>
      <c r="F15" s="87">
        <f t="shared" si="1"/>
        <v>0</v>
      </c>
      <c r="G15" s="26">
        <f>F15/'Total Costs'!$C$4</f>
        <v>0</v>
      </c>
    </row>
    <row r="16" spans="2:7" ht="20.100000000000001" customHeight="1" x14ac:dyDescent="0.3">
      <c r="B16" s="130" t="s">
        <v>103</v>
      </c>
      <c r="C16" s="132">
        <f t="shared" si="2"/>
        <v>0</v>
      </c>
      <c r="D16" s="133">
        <v>500</v>
      </c>
      <c r="E16" s="134">
        <f t="shared" si="3"/>
        <v>2.5000000000000001E-2</v>
      </c>
      <c r="F16" s="87">
        <f t="shared" si="1"/>
        <v>0</v>
      </c>
      <c r="G16" s="26">
        <f>F16/'Total Costs'!$C$4</f>
        <v>0</v>
      </c>
    </row>
    <row r="17" spans="2:7" ht="20.100000000000001" customHeight="1" x14ac:dyDescent="0.3">
      <c r="B17" s="131" t="s">
        <v>104</v>
      </c>
      <c r="C17" s="132">
        <f t="shared" si="2"/>
        <v>0</v>
      </c>
      <c r="D17" s="133">
        <v>200</v>
      </c>
      <c r="E17" s="134">
        <f t="shared" si="3"/>
        <v>2.5000000000000001E-2</v>
      </c>
      <c r="F17" s="87">
        <f t="shared" si="1"/>
        <v>0</v>
      </c>
      <c r="G17" s="26">
        <f>F17/'Total Costs'!$C$4</f>
        <v>0</v>
      </c>
    </row>
    <row r="18" spans="2:7" ht="20.100000000000001" customHeight="1" x14ac:dyDescent="0.3">
      <c r="B18" s="126"/>
      <c r="C18" s="132">
        <f t="shared" si="2"/>
        <v>0</v>
      </c>
      <c r="D18" s="133">
        <v>0</v>
      </c>
      <c r="E18" s="134">
        <f t="shared" si="3"/>
        <v>2.5000000000000001E-2</v>
      </c>
      <c r="F18" s="87">
        <f t="shared" si="1"/>
        <v>0</v>
      </c>
      <c r="G18" s="26">
        <f>F18/'Total Costs'!$C$4</f>
        <v>0</v>
      </c>
    </row>
    <row r="19" spans="2:7" s="101" customFormat="1" ht="20.100000000000001" customHeight="1" x14ac:dyDescent="0.3">
      <c r="B19" s="27" t="s">
        <v>24</v>
      </c>
      <c r="C19" s="27"/>
      <c r="D19" s="27"/>
      <c r="E19" s="27"/>
      <c r="F19" s="102">
        <f>SUM(F6:F17)</f>
        <v>80</v>
      </c>
      <c r="G19" s="30">
        <f>SUM(G6:G17)</f>
        <v>1.5384615384615385</v>
      </c>
    </row>
    <row r="21" spans="2:7" ht="20.100000000000001" customHeight="1" x14ac:dyDescent="0.3">
      <c r="B21" s="3" t="s">
        <v>102</v>
      </c>
    </row>
    <row r="23" spans="2:7" ht="30" customHeight="1" x14ac:dyDescent="0.3">
      <c r="B23" s="125" t="s">
        <v>101</v>
      </c>
      <c r="C23" s="125"/>
      <c r="D23" s="125"/>
      <c r="E23" s="125"/>
      <c r="F23" s="125"/>
      <c r="G23" s="125"/>
    </row>
    <row r="24" spans="2:7" ht="20.100000000000001" customHeight="1" x14ac:dyDescent="0.3">
      <c r="B24" s="125"/>
      <c r="C24" s="125"/>
      <c r="D24" s="125"/>
      <c r="E24" s="125"/>
      <c r="F24" s="125"/>
      <c r="G24" s="125"/>
    </row>
    <row r="25" spans="2:7" ht="24.75" customHeight="1" x14ac:dyDescent="0.3">
      <c r="B25" s="125"/>
      <c r="C25" s="125"/>
      <c r="D25" s="125"/>
      <c r="E25" s="125"/>
      <c r="F25" s="125"/>
      <c r="G25" s="125"/>
    </row>
  </sheetData>
  <sheetProtection sheet="1" objects="1" scenarios="1" insertRows="0"/>
  <mergeCells count="1">
    <mergeCell ref="B23:G25"/>
  </mergeCells>
  <conditionalFormatting sqref="B19:G19 B18 B3:G13 C14:G18">
    <cfRule type="expression" dxfId="1" priority="3">
      <formula>MOD(ROW(),2)</formula>
    </cfRule>
  </conditionalFormatting>
  <conditionalFormatting sqref="B6:G11 B13:G18">
    <cfRule type="expression" dxfId="0" priority="1">
      <formula>$C6=0</formula>
    </cfRule>
  </conditionalFormatting>
  <pageMargins left="0.7" right="0.7" top="0.75" bottom="0.75" header="0.3" footer="0.3"/>
  <pageSetup scale="71" orientation="portrait" r:id="rId1"/>
  <ignoredErrors>
    <ignoredError sqref="D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65B65718767345935611D951FEAD62" ma:contentTypeVersion="13" ma:contentTypeDescription="Create a new document." ma:contentTypeScope="" ma:versionID="10c903f1825dfef7536b2a3c67cc0a5c">
  <xsd:schema xmlns:xsd="http://www.w3.org/2001/XMLSchema" xmlns:xs="http://www.w3.org/2001/XMLSchema" xmlns:p="http://schemas.microsoft.com/office/2006/metadata/properties" xmlns:ns3="deedf785-67ee-43e7-b440-ea4f78a61ea1" xmlns:ns4="2ef53749-08c8-496b-a62e-f724fb08dbcd" targetNamespace="http://schemas.microsoft.com/office/2006/metadata/properties" ma:root="true" ma:fieldsID="d8e3da342ffb3f407b94ae54837f6b4a" ns3:_="" ns4:_="">
    <xsd:import namespace="deedf785-67ee-43e7-b440-ea4f78a61ea1"/>
    <xsd:import namespace="2ef53749-08c8-496b-a62e-f724fb08db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df785-67ee-43e7-b440-ea4f78a61e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53749-08c8-496b-a62e-f724fb08d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74320B-823E-410C-AAD4-186AC4566B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30E0B3-5E57-415A-B70D-7FB7E81968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5FD726-1443-477B-8E17-9F9212B0E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df785-67ee-43e7-b440-ea4f78a61ea1"/>
    <ds:schemaRef ds:uri="2ef53749-08c8-496b-a62e-f724fb08d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Directory</vt:lpstr>
      <vt:lpstr>Total Costs</vt:lpstr>
      <vt:lpstr>Equipment Ownership</vt:lpstr>
      <vt:lpstr>Certificates &amp; Licenses</vt:lpstr>
      <vt:lpstr>Personnel</vt:lpstr>
      <vt:lpstr>Utilities</vt:lpstr>
      <vt:lpstr>Software</vt:lpstr>
      <vt:lpstr>Insurance</vt:lpstr>
      <vt:lpstr>Maintenance &amp; Repairs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Joshua</dc:creator>
  <cp:lastModifiedBy>Jackson, Joshua</cp:lastModifiedBy>
  <cp:lastPrinted>2020-10-01T17:43:49Z</cp:lastPrinted>
  <dcterms:created xsi:type="dcterms:W3CDTF">2020-09-03T19:16:13Z</dcterms:created>
  <dcterms:modified xsi:type="dcterms:W3CDTF">2021-04-21T15:25:55Z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0x0101001F65B65718767345935611D951FEAD62</vt:lpwstr>
  </property>
</Properties>
</file>